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HP\Documents\Paul\Masters\Ranking\2021\"/>
    </mc:Choice>
  </mc:AlternateContent>
  <bookViews>
    <workbookView xWindow="0" yWindow="0" windowWidth="20490" windowHeight="8655" firstSheet="3" activeTab="5"/>
  </bookViews>
  <sheets>
    <sheet name="Mens 35s" sheetId="2" r:id="rId1"/>
    <sheet name="Mens 40s" sheetId="3" r:id="rId2"/>
    <sheet name="Ladies 35-40s" sheetId="4" r:id="rId3"/>
    <sheet name="Mens 45s" sheetId="5" r:id="rId4"/>
    <sheet name="Ladies 45s" sheetId="6" r:id="rId5"/>
    <sheet name="Mens 50s" sheetId="7" r:id="rId6"/>
    <sheet name="Ladies 50s" sheetId="8" r:id="rId7"/>
    <sheet name="Mens 55s" sheetId="9" r:id="rId8"/>
    <sheet name="Ladies 55s" sheetId="10" r:id="rId9"/>
    <sheet name="Mens 60s" sheetId="11" r:id="rId10"/>
    <sheet name="Ladies 60s" sheetId="12" r:id="rId11"/>
    <sheet name="Mens 65s" sheetId="13" r:id="rId12"/>
    <sheet name="Mens 70s" sheetId="14" r:id="rId13"/>
    <sheet name="Mens 75s" sheetId="18" r:id="rId14"/>
    <sheet name="points tables" sheetId="17" r:id="rId15"/>
  </sheets>
  <definedNames>
    <definedName name="_xlnm._FilterDatabase" localSheetId="10" hidden="1">'Ladies 60s'!$A$1:$A$4</definedName>
    <definedName name="_xlnm._FilterDatabase" localSheetId="0" hidden="1">'Mens 35s'!$A$1:$A$16</definedName>
    <definedName name="_xlnm._FilterDatabase" localSheetId="1" hidden="1">'Mens 40s'!$A$1:$A$22</definedName>
    <definedName name="_xlnm._FilterDatabase" localSheetId="7" hidden="1">'Mens 55s'!$A$1:$A$20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1" l="1"/>
  <c r="L25" i="11"/>
  <c r="M25" i="11"/>
  <c r="N25" i="11" s="1"/>
  <c r="K18" i="11"/>
  <c r="J10" i="2"/>
  <c r="K10" i="2"/>
  <c r="L10" i="2"/>
  <c r="M10" i="2" s="1"/>
  <c r="J7" i="8"/>
  <c r="K7" i="8"/>
  <c r="L7" i="8"/>
  <c r="M7" i="8" s="1"/>
  <c r="L3" i="9"/>
  <c r="K3" i="9"/>
  <c r="M3" i="9" s="1"/>
  <c r="J3" i="9"/>
  <c r="J9" i="10"/>
  <c r="K9" i="10"/>
  <c r="L9" i="10"/>
  <c r="M9" i="10" s="1"/>
  <c r="K4" i="18"/>
  <c r="J22" i="2"/>
  <c r="K22" i="2"/>
  <c r="L22" i="2"/>
  <c r="M22" i="2" s="1"/>
  <c r="J8" i="12"/>
  <c r="K8" i="12"/>
  <c r="L8" i="12"/>
  <c r="M8" i="12" s="1"/>
  <c r="J10" i="6"/>
  <c r="K10" i="6"/>
  <c r="L10" i="6"/>
  <c r="K10" i="13"/>
  <c r="L10" i="13"/>
  <c r="N10" i="13" s="1"/>
  <c r="M10" i="13"/>
  <c r="K14" i="13"/>
  <c r="L14" i="13"/>
  <c r="N14" i="13" s="1"/>
  <c r="M14" i="13"/>
  <c r="K4" i="13"/>
  <c r="L4" i="13"/>
  <c r="N4" i="13" s="1"/>
  <c r="M4" i="13"/>
  <c r="K6" i="13"/>
  <c r="L6" i="13"/>
  <c r="N6" i="13" s="1"/>
  <c r="M6" i="13"/>
  <c r="K13" i="11"/>
  <c r="L13" i="11"/>
  <c r="N13" i="11" s="1"/>
  <c r="M13" i="11"/>
  <c r="K15" i="11"/>
  <c r="L15" i="11"/>
  <c r="N15" i="11" s="1"/>
  <c r="M15" i="11"/>
  <c r="K3" i="11"/>
  <c r="L3" i="11"/>
  <c r="N3" i="11" s="1"/>
  <c r="M3" i="11"/>
  <c r="K9" i="11"/>
  <c r="L9" i="11"/>
  <c r="N9" i="11" s="1"/>
  <c r="M9" i="11"/>
  <c r="J16" i="9"/>
  <c r="K16" i="9"/>
  <c r="L16" i="9"/>
  <c r="J21" i="9"/>
  <c r="K21" i="9"/>
  <c r="L21" i="9"/>
  <c r="J19" i="9"/>
  <c r="K19" i="9"/>
  <c r="L19" i="9"/>
  <c r="M10" i="6" l="1"/>
  <c r="M21" i="9"/>
  <c r="M16" i="9"/>
  <c r="M19" i="9"/>
  <c r="J6" i="9"/>
  <c r="K6" i="9"/>
  <c r="M6" i="9" s="1"/>
  <c r="L6" i="9"/>
  <c r="J9" i="9"/>
  <c r="K9" i="9"/>
  <c r="M9" i="9" s="1"/>
  <c r="L9" i="9"/>
  <c r="J14" i="7"/>
  <c r="K14" i="7"/>
  <c r="L14" i="7"/>
  <c r="J22" i="5"/>
  <c r="K22" i="5"/>
  <c r="M22" i="5" s="1"/>
  <c r="L22" i="5"/>
  <c r="J12" i="5"/>
  <c r="K12" i="5"/>
  <c r="M12" i="5" s="1"/>
  <c r="L12" i="5"/>
  <c r="J10" i="5"/>
  <c r="K10" i="5"/>
  <c r="M10" i="5" s="1"/>
  <c r="L10" i="5"/>
  <c r="J9" i="3"/>
  <c r="K9" i="3"/>
  <c r="M9" i="3" s="1"/>
  <c r="L9" i="3"/>
  <c r="J22" i="3"/>
  <c r="K22" i="3"/>
  <c r="L22" i="3"/>
  <c r="M22" i="3" s="1"/>
  <c r="J2" i="12"/>
  <c r="K2" i="12"/>
  <c r="M2" i="12" s="1"/>
  <c r="L2" i="12"/>
  <c r="J5" i="12"/>
  <c r="K5" i="12"/>
  <c r="M5" i="12" s="1"/>
  <c r="L5" i="12"/>
  <c r="K2" i="11"/>
  <c r="K4" i="11"/>
  <c r="K6" i="11"/>
  <c r="K10" i="11"/>
  <c r="K8" i="11"/>
  <c r="K7" i="11"/>
  <c r="K11" i="11"/>
  <c r="K5" i="11"/>
  <c r="K14" i="11"/>
  <c r="K12" i="11"/>
  <c r="K16" i="11"/>
  <c r="K17" i="11"/>
  <c r="K21" i="11"/>
  <c r="K19" i="11"/>
  <c r="K22" i="11"/>
  <c r="K20" i="11"/>
  <c r="L11" i="11"/>
  <c r="N11" i="11" s="1"/>
  <c r="M11" i="11"/>
  <c r="J15" i="7"/>
  <c r="K15" i="7"/>
  <c r="L15" i="7"/>
  <c r="J13" i="7"/>
  <c r="K13" i="7"/>
  <c r="M13" i="7" s="1"/>
  <c r="L13" i="7"/>
  <c r="J9" i="7"/>
  <c r="K9" i="7"/>
  <c r="M9" i="7" s="1"/>
  <c r="L9" i="7"/>
  <c r="J4" i="8"/>
  <c r="J13" i="6"/>
  <c r="K13" i="6"/>
  <c r="L13" i="6"/>
  <c r="J6" i="6"/>
  <c r="K6" i="6"/>
  <c r="L6" i="6"/>
  <c r="M6" i="6" s="1"/>
  <c r="J4" i="6"/>
  <c r="K4" i="6"/>
  <c r="M4" i="6" s="1"/>
  <c r="L4" i="6"/>
  <c r="J14" i="6"/>
  <c r="K14" i="6"/>
  <c r="L14" i="6"/>
  <c r="J5" i="4"/>
  <c r="K5" i="4"/>
  <c r="L5" i="4"/>
  <c r="M5" i="4" s="1"/>
  <c r="J19" i="4"/>
  <c r="K19" i="4"/>
  <c r="L19" i="4"/>
  <c r="M19" i="4" s="1"/>
  <c r="J20" i="4"/>
  <c r="K20" i="4"/>
  <c r="L20" i="4"/>
  <c r="M20" i="4" s="1"/>
  <c r="J3" i="3"/>
  <c r="K3" i="3"/>
  <c r="M3" i="3" s="1"/>
  <c r="L3" i="3"/>
  <c r="J7" i="3"/>
  <c r="K7" i="3"/>
  <c r="M7" i="3" s="1"/>
  <c r="L7" i="3"/>
  <c r="J2" i="3"/>
  <c r="J4" i="3"/>
  <c r="J8" i="3"/>
  <c r="J10" i="3"/>
  <c r="J5" i="3"/>
  <c r="J6" i="3"/>
  <c r="J11" i="3"/>
  <c r="J12" i="3"/>
  <c r="J13" i="3"/>
  <c r="J14" i="3"/>
  <c r="J16" i="3"/>
  <c r="J17" i="3"/>
  <c r="J19" i="3"/>
  <c r="J18" i="3"/>
  <c r="J20" i="3"/>
  <c r="J21" i="3"/>
  <c r="J15" i="3"/>
  <c r="K2" i="3"/>
  <c r="K4" i="3"/>
  <c r="K8" i="3"/>
  <c r="K10" i="3"/>
  <c r="K5" i="3"/>
  <c r="K6" i="3"/>
  <c r="K11" i="3"/>
  <c r="K12" i="3"/>
  <c r="K13" i="3"/>
  <c r="K14" i="3"/>
  <c r="K16" i="3"/>
  <c r="K17" i="3"/>
  <c r="K19" i="3"/>
  <c r="K18" i="3"/>
  <c r="K20" i="3"/>
  <c r="K21" i="3"/>
  <c r="K15" i="3"/>
  <c r="L2" i="3"/>
  <c r="L4" i="3"/>
  <c r="L8" i="3"/>
  <c r="L10" i="3"/>
  <c r="L5" i="3"/>
  <c r="L6" i="3"/>
  <c r="L11" i="3"/>
  <c r="L12" i="3"/>
  <c r="L13" i="3"/>
  <c r="L14" i="3"/>
  <c r="L16" i="3"/>
  <c r="L17" i="3"/>
  <c r="L19" i="3"/>
  <c r="L18" i="3"/>
  <c r="L20" i="3"/>
  <c r="L21" i="3"/>
  <c r="L15" i="3"/>
  <c r="J6" i="2"/>
  <c r="K6" i="2"/>
  <c r="L6" i="2"/>
  <c r="J9" i="2"/>
  <c r="K9" i="2"/>
  <c r="L9" i="2"/>
  <c r="J12" i="9"/>
  <c r="K12" i="9"/>
  <c r="M12" i="9" s="1"/>
  <c r="L12" i="9"/>
  <c r="M9" i="2" l="1"/>
  <c r="M15" i="7"/>
  <c r="M14" i="7"/>
  <c r="M13" i="6"/>
  <c r="M14" i="6"/>
  <c r="M6" i="2"/>
  <c r="M4" i="18"/>
  <c r="L4" i="18"/>
  <c r="N4" i="18" s="1"/>
  <c r="M3" i="18"/>
  <c r="L3" i="18"/>
  <c r="N3" i="18" s="1"/>
  <c r="K3" i="18"/>
  <c r="M2" i="18"/>
  <c r="L2" i="18"/>
  <c r="N2" i="18" s="1"/>
  <c r="K2" i="18"/>
  <c r="K13" i="14"/>
  <c r="L13" i="14"/>
  <c r="M13" i="14"/>
  <c r="K8" i="14"/>
  <c r="L8" i="14"/>
  <c r="M8" i="14"/>
  <c r="K18" i="13"/>
  <c r="L18" i="13"/>
  <c r="N18" i="13" s="1"/>
  <c r="M18" i="13"/>
  <c r="K15" i="13"/>
  <c r="L15" i="13"/>
  <c r="M15" i="13"/>
  <c r="J4" i="10"/>
  <c r="K4" i="10"/>
  <c r="L4" i="10"/>
  <c r="J2" i="10"/>
  <c r="K2" i="10"/>
  <c r="L2" i="10"/>
  <c r="J10" i="8"/>
  <c r="K10" i="8"/>
  <c r="L10" i="8"/>
  <c r="M10" i="8" s="1"/>
  <c r="J9" i="8"/>
  <c r="K9" i="8"/>
  <c r="L9" i="8"/>
  <c r="J8" i="8"/>
  <c r="K8" i="8"/>
  <c r="L8" i="8"/>
  <c r="J14" i="4"/>
  <c r="K14" i="4"/>
  <c r="M14" i="4" s="1"/>
  <c r="L14" i="4"/>
  <c r="J16" i="4"/>
  <c r="K16" i="4"/>
  <c r="M16" i="4" s="1"/>
  <c r="L16" i="4"/>
  <c r="J16" i="2"/>
  <c r="K16" i="2"/>
  <c r="L16" i="2"/>
  <c r="N15" i="13" l="1"/>
  <c r="M2" i="10"/>
  <c r="M9" i="8"/>
  <c r="M16" i="2"/>
  <c r="N13" i="14"/>
  <c r="M8" i="8"/>
  <c r="N8" i="14"/>
  <c r="M4" i="10"/>
  <c r="K15" i="14" l="1"/>
  <c r="L15" i="14"/>
  <c r="M15" i="14"/>
  <c r="K14" i="14"/>
  <c r="L14" i="14"/>
  <c r="M14" i="14"/>
  <c r="K7" i="14"/>
  <c r="L7" i="14"/>
  <c r="M7" i="14"/>
  <c r="K19" i="13"/>
  <c r="L19" i="13"/>
  <c r="N19" i="13" s="1"/>
  <c r="M19" i="13"/>
  <c r="K20" i="13"/>
  <c r="L20" i="13"/>
  <c r="N20" i="13" s="1"/>
  <c r="M20" i="13"/>
  <c r="L16" i="11"/>
  <c r="N16" i="11" s="1"/>
  <c r="M16" i="11"/>
  <c r="J22" i="9"/>
  <c r="K22" i="9"/>
  <c r="M22" i="9" s="1"/>
  <c r="L22" i="9"/>
  <c r="J23" i="9"/>
  <c r="K23" i="9"/>
  <c r="M23" i="9" s="1"/>
  <c r="L23" i="9"/>
  <c r="J24" i="9"/>
  <c r="K24" i="9"/>
  <c r="M24" i="9" s="1"/>
  <c r="L24" i="9"/>
  <c r="J12" i="6"/>
  <c r="K12" i="6"/>
  <c r="L12" i="6"/>
  <c r="M13" i="3"/>
  <c r="M10" i="3"/>
  <c r="J8" i="2"/>
  <c r="K8" i="2"/>
  <c r="L8" i="2"/>
  <c r="M8" i="2" l="1"/>
  <c r="M12" i="6"/>
  <c r="N14" i="14"/>
  <c r="N7" i="14"/>
  <c r="N15" i="14"/>
  <c r="J4" i="7"/>
  <c r="K4" i="7"/>
  <c r="L4" i="7"/>
  <c r="M4" i="7" l="1"/>
  <c r="J18" i="4"/>
  <c r="K18" i="4"/>
  <c r="M18" i="4" s="1"/>
  <c r="L18" i="4"/>
  <c r="J17" i="4"/>
  <c r="K17" i="4"/>
  <c r="M17" i="4" s="1"/>
  <c r="L17" i="4"/>
  <c r="J6" i="4"/>
  <c r="K6" i="4"/>
  <c r="L6" i="4"/>
  <c r="J4" i="4"/>
  <c r="K4" i="4"/>
  <c r="L4" i="4"/>
  <c r="M4" i="4" l="1"/>
  <c r="M6" i="4"/>
  <c r="J7" i="9"/>
  <c r="L24" i="11" l="1"/>
  <c r="M24" i="11"/>
  <c r="J16" i="7"/>
  <c r="K16" i="7"/>
  <c r="M16" i="7" s="1"/>
  <c r="L16" i="7"/>
  <c r="J10" i="4"/>
  <c r="K10" i="4"/>
  <c r="M10" i="4" s="1"/>
  <c r="L10" i="4"/>
  <c r="J21" i="2"/>
  <c r="K21" i="2"/>
  <c r="L21" i="2"/>
  <c r="K16" i="13"/>
  <c r="K17" i="13"/>
  <c r="K13" i="13"/>
  <c r="L16" i="13"/>
  <c r="L17" i="13"/>
  <c r="N17" i="13" s="1"/>
  <c r="L13" i="13"/>
  <c r="M16" i="13"/>
  <c r="M17" i="13"/>
  <c r="M13" i="13"/>
  <c r="J8" i="6"/>
  <c r="K8" i="6"/>
  <c r="L8" i="6"/>
  <c r="M8" i="6" l="1"/>
  <c r="M20" i="3"/>
  <c r="M21" i="2"/>
  <c r="N16" i="13"/>
  <c r="N13" i="13"/>
  <c r="M19" i="3"/>
  <c r="L22" i="11"/>
  <c r="N22" i="11" s="1"/>
  <c r="M22" i="11"/>
  <c r="K11" i="14"/>
  <c r="L11" i="14"/>
  <c r="N11" i="14" s="1"/>
  <c r="M11" i="14"/>
  <c r="K3" i="13"/>
  <c r="L3" i="13"/>
  <c r="N3" i="13" s="1"/>
  <c r="M3" i="13"/>
  <c r="J15" i="9"/>
  <c r="K15" i="9"/>
  <c r="M15" i="9" s="1"/>
  <c r="L15" i="9"/>
  <c r="M18" i="3"/>
  <c r="J13" i="2"/>
  <c r="K13" i="2"/>
  <c r="L13" i="2"/>
  <c r="J17" i="2"/>
  <c r="K17" i="2"/>
  <c r="L17" i="2"/>
  <c r="M17" i="2" s="1"/>
  <c r="M13" i="2" l="1"/>
  <c r="M11" i="3"/>
  <c r="J17" i="5"/>
  <c r="K17" i="5"/>
  <c r="M17" i="5" s="1"/>
  <c r="L17" i="5"/>
  <c r="J15" i="5"/>
  <c r="K15" i="5"/>
  <c r="M15" i="5" s="1"/>
  <c r="L15" i="5"/>
  <c r="J20" i="7"/>
  <c r="K20" i="7"/>
  <c r="M20" i="7" s="1"/>
  <c r="L20" i="7"/>
  <c r="M8" i="3" l="1"/>
  <c r="J12" i="7"/>
  <c r="K12" i="7"/>
  <c r="M12" i="7" s="1"/>
  <c r="L12" i="7"/>
  <c r="J5" i="5"/>
  <c r="K5" i="5"/>
  <c r="M5" i="5" s="1"/>
  <c r="L5" i="5"/>
  <c r="J13" i="5"/>
  <c r="L20" i="2" l="1"/>
  <c r="L2" i="2"/>
  <c r="L4" i="2"/>
  <c r="L7" i="2"/>
  <c r="L14" i="2"/>
  <c r="L5" i="2"/>
  <c r="L15" i="2"/>
  <c r="L18" i="2"/>
  <c r="L12" i="2"/>
  <c r="L3" i="2"/>
  <c r="L11" i="2"/>
  <c r="L19" i="2"/>
  <c r="K20" i="2"/>
  <c r="M20" i="2" s="1"/>
  <c r="K2" i="2"/>
  <c r="M2" i="2" s="1"/>
  <c r="K4" i="2"/>
  <c r="M4" i="2" s="1"/>
  <c r="K7" i="2"/>
  <c r="M7" i="2" s="1"/>
  <c r="K14" i="2"/>
  <c r="M14" i="2" s="1"/>
  <c r="K5" i="2"/>
  <c r="M5" i="2" s="1"/>
  <c r="K15" i="2"/>
  <c r="M15" i="2" s="1"/>
  <c r="K18" i="2"/>
  <c r="M18" i="2" s="1"/>
  <c r="K12" i="2"/>
  <c r="M12" i="2" s="1"/>
  <c r="K3" i="2"/>
  <c r="M3" i="2" s="1"/>
  <c r="K11" i="2"/>
  <c r="M11" i="2" s="1"/>
  <c r="K19" i="2"/>
  <c r="M19" i="2" s="1"/>
  <c r="K27" i="9"/>
  <c r="L27" i="9"/>
  <c r="J14" i="9" l="1"/>
  <c r="K14" i="9"/>
  <c r="M14" i="9" s="1"/>
  <c r="L14" i="9"/>
  <c r="J5" i="9"/>
  <c r="K5" i="9"/>
  <c r="M5" i="9" s="1"/>
  <c r="L5" i="9"/>
  <c r="J8" i="9"/>
  <c r="K8" i="9"/>
  <c r="M8" i="9" s="1"/>
  <c r="L8" i="9"/>
  <c r="J11" i="9"/>
  <c r="K11" i="9"/>
  <c r="M11" i="9" s="1"/>
  <c r="L11" i="9"/>
  <c r="J17" i="9"/>
  <c r="K17" i="9"/>
  <c r="M17" i="9" s="1"/>
  <c r="L17" i="9"/>
  <c r="J7" i="7" l="1"/>
  <c r="K7" i="7"/>
  <c r="M7" i="7" s="1"/>
  <c r="L7" i="7"/>
  <c r="K13" i="5"/>
  <c r="M13" i="5" s="1"/>
  <c r="L13" i="5"/>
  <c r="J20" i="5"/>
  <c r="K20" i="5"/>
  <c r="M20" i="5" s="1"/>
  <c r="L20" i="5"/>
  <c r="J19" i="5"/>
  <c r="K19" i="5"/>
  <c r="M19" i="5" s="1"/>
  <c r="L19" i="5"/>
  <c r="J18" i="5"/>
  <c r="K18" i="5"/>
  <c r="M18" i="5" s="1"/>
  <c r="L18" i="5"/>
  <c r="M2" i="14" l="1"/>
  <c r="L2" i="14"/>
  <c r="N2" i="14" s="1"/>
  <c r="K2" i="14"/>
  <c r="M5" i="14"/>
  <c r="L5" i="14"/>
  <c r="N5" i="14" s="1"/>
  <c r="K5" i="14"/>
  <c r="M3" i="14"/>
  <c r="L3" i="14"/>
  <c r="N3" i="14" s="1"/>
  <c r="K3" i="14"/>
  <c r="M9" i="14"/>
  <c r="L9" i="14"/>
  <c r="N9" i="14" s="1"/>
  <c r="K9" i="14"/>
  <c r="M10" i="14"/>
  <c r="L10" i="14"/>
  <c r="N10" i="14" s="1"/>
  <c r="K10" i="14"/>
  <c r="M4" i="14"/>
  <c r="L4" i="14"/>
  <c r="N4" i="14" s="1"/>
  <c r="K4" i="14"/>
  <c r="M12" i="14"/>
  <c r="L12" i="14"/>
  <c r="N12" i="14" s="1"/>
  <c r="K12" i="14"/>
  <c r="M6" i="14"/>
  <c r="L6" i="14"/>
  <c r="N6" i="14" s="1"/>
  <c r="K6" i="14"/>
  <c r="M11" i="13"/>
  <c r="L11" i="13"/>
  <c r="N11" i="13" s="1"/>
  <c r="K11" i="13"/>
  <c r="M7" i="13"/>
  <c r="L7" i="13"/>
  <c r="N7" i="13" s="1"/>
  <c r="K7" i="13"/>
  <c r="M22" i="13"/>
  <c r="L22" i="13"/>
  <c r="N22" i="13" s="1"/>
  <c r="K22" i="13"/>
  <c r="M9" i="13"/>
  <c r="L9" i="13"/>
  <c r="N9" i="13" s="1"/>
  <c r="K9" i="13"/>
  <c r="M5" i="13"/>
  <c r="L5" i="13"/>
  <c r="N5" i="13" s="1"/>
  <c r="K5" i="13"/>
  <c r="M21" i="13"/>
  <c r="L21" i="13"/>
  <c r="N21" i="13" s="1"/>
  <c r="K21" i="13"/>
  <c r="M12" i="13"/>
  <c r="L12" i="13"/>
  <c r="N12" i="13" s="1"/>
  <c r="K12" i="13"/>
  <c r="M8" i="13"/>
  <c r="L8" i="13"/>
  <c r="N8" i="13" s="1"/>
  <c r="K8" i="13"/>
  <c r="M2" i="13"/>
  <c r="L2" i="13"/>
  <c r="N2" i="13" s="1"/>
  <c r="K2" i="13"/>
  <c r="L7" i="12"/>
  <c r="K7" i="12"/>
  <c r="M7" i="12" s="1"/>
  <c r="J7" i="12"/>
  <c r="L6" i="12"/>
  <c r="K6" i="12"/>
  <c r="M6" i="12" s="1"/>
  <c r="J6" i="12"/>
  <c r="L3" i="12"/>
  <c r="K3" i="12"/>
  <c r="M3" i="12" s="1"/>
  <c r="J3" i="12"/>
  <c r="L4" i="12"/>
  <c r="K4" i="12"/>
  <c r="M4" i="12" s="1"/>
  <c r="J4" i="12"/>
  <c r="M17" i="11"/>
  <c r="L17" i="11"/>
  <c r="N17" i="11" s="1"/>
  <c r="M12" i="11"/>
  <c r="L12" i="11"/>
  <c r="N12" i="11" s="1"/>
  <c r="M10" i="11"/>
  <c r="L10" i="11"/>
  <c r="N10" i="11" s="1"/>
  <c r="M4" i="11"/>
  <c r="L4" i="11"/>
  <c r="N4" i="11" s="1"/>
  <c r="M21" i="11"/>
  <c r="L21" i="11"/>
  <c r="N21" i="11" s="1"/>
  <c r="M2" i="11"/>
  <c r="L2" i="11"/>
  <c r="N2" i="11" s="1"/>
  <c r="M5" i="11"/>
  <c r="L5" i="11"/>
  <c r="N5" i="11" s="1"/>
  <c r="M7" i="11"/>
  <c r="L7" i="11"/>
  <c r="N7" i="11" s="1"/>
  <c r="M19" i="11"/>
  <c r="L19" i="11"/>
  <c r="N19" i="11" s="1"/>
  <c r="M23" i="11"/>
  <c r="L23" i="11"/>
  <c r="M8" i="11"/>
  <c r="L8" i="11"/>
  <c r="N8" i="11" s="1"/>
  <c r="M18" i="11"/>
  <c r="L18" i="11"/>
  <c r="N18" i="11" s="1"/>
  <c r="M6" i="11"/>
  <c r="L6" i="11"/>
  <c r="N6" i="11" s="1"/>
  <c r="M14" i="11"/>
  <c r="L14" i="11"/>
  <c r="N14" i="11" s="1"/>
  <c r="M20" i="11"/>
  <c r="L20" i="11"/>
  <c r="N20" i="11" s="1"/>
  <c r="L7" i="10"/>
  <c r="K7" i="10"/>
  <c r="M7" i="10" s="1"/>
  <c r="J7" i="10"/>
  <c r="L6" i="10"/>
  <c r="K6" i="10"/>
  <c r="M6" i="10" s="1"/>
  <c r="J6" i="10"/>
  <c r="L5" i="10"/>
  <c r="K5" i="10"/>
  <c r="M5" i="10" s="1"/>
  <c r="J5" i="10"/>
  <c r="L8" i="10"/>
  <c r="K8" i="10"/>
  <c r="M8" i="10" s="1"/>
  <c r="J8" i="10"/>
  <c r="L3" i="10"/>
  <c r="K3" i="10"/>
  <c r="M3" i="10" s="1"/>
  <c r="J3" i="10"/>
  <c r="L20" i="9"/>
  <c r="K20" i="9"/>
  <c r="M20" i="9" s="1"/>
  <c r="J20" i="9"/>
  <c r="L7" i="9"/>
  <c r="M7" i="9" s="1"/>
  <c r="K7" i="9"/>
  <c r="L18" i="9"/>
  <c r="K18" i="9"/>
  <c r="M18" i="9" s="1"/>
  <c r="J18" i="9"/>
  <c r="L13" i="9"/>
  <c r="K13" i="9"/>
  <c r="M13" i="9" s="1"/>
  <c r="J13" i="9"/>
  <c r="L10" i="9"/>
  <c r="K10" i="9"/>
  <c r="M10" i="9" s="1"/>
  <c r="J10" i="9"/>
  <c r="L2" i="9"/>
  <c r="K2" i="9"/>
  <c r="M2" i="9" s="1"/>
  <c r="J2" i="9"/>
  <c r="L4" i="9"/>
  <c r="K4" i="9"/>
  <c r="M4" i="9" s="1"/>
  <c r="J4" i="9"/>
  <c r="L11" i="8"/>
  <c r="K11" i="8"/>
  <c r="M11" i="8" s="1"/>
  <c r="J11" i="8"/>
  <c r="L6" i="8"/>
  <c r="K6" i="8"/>
  <c r="M6" i="8" s="1"/>
  <c r="J6" i="8"/>
  <c r="L5" i="8"/>
  <c r="K5" i="8"/>
  <c r="M5" i="8" s="1"/>
  <c r="J5" i="8"/>
  <c r="L4" i="8"/>
  <c r="K4" i="8"/>
  <c r="M4" i="8" s="1"/>
  <c r="L3" i="8"/>
  <c r="K3" i="8"/>
  <c r="M3" i="8" s="1"/>
  <c r="J3" i="8"/>
  <c r="L2" i="8"/>
  <c r="K2" i="8"/>
  <c r="M2" i="8" s="1"/>
  <c r="J2" i="8"/>
  <c r="L11" i="7"/>
  <c r="K11" i="7"/>
  <c r="M11" i="7" s="1"/>
  <c r="J11" i="7"/>
  <c r="L17" i="7"/>
  <c r="K17" i="7"/>
  <c r="M17" i="7" s="1"/>
  <c r="J17" i="7"/>
  <c r="L8" i="7"/>
  <c r="K8" i="7"/>
  <c r="M8" i="7" s="1"/>
  <c r="J8" i="7"/>
  <c r="L18" i="7"/>
  <c r="K18" i="7"/>
  <c r="M18" i="7" s="1"/>
  <c r="J18" i="7"/>
  <c r="L2" i="7"/>
  <c r="K2" i="7"/>
  <c r="M2" i="7" s="1"/>
  <c r="J2" i="7"/>
  <c r="L19" i="7"/>
  <c r="K19" i="7"/>
  <c r="M19" i="7" s="1"/>
  <c r="J19" i="7"/>
  <c r="L3" i="7"/>
  <c r="K3" i="7"/>
  <c r="M3" i="7" s="1"/>
  <c r="J3" i="7"/>
  <c r="L5" i="7"/>
  <c r="K5" i="7"/>
  <c r="M5" i="7" s="1"/>
  <c r="J5" i="7"/>
  <c r="L10" i="7"/>
  <c r="K10" i="7"/>
  <c r="M10" i="7" s="1"/>
  <c r="J10" i="7"/>
  <c r="L6" i="7"/>
  <c r="K6" i="7"/>
  <c r="M6" i="7" s="1"/>
  <c r="J6" i="7"/>
  <c r="L9" i="6"/>
  <c r="K9" i="6"/>
  <c r="M9" i="6" s="1"/>
  <c r="J9" i="6"/>
  <c r="L11" i="6"/>
  <c r="K11" i="6"/>
  <c r="M11" i="6" s="1"/>
  <c r="J11" i="6"/>
  <c r="L5" i="6"/>
  <c r="K5" i="6"/>
  <c r="M5" i="6" s="1"/>
  <c r="J5" i="6"/>
  <c r="L7" i="6"/>
  <c r="K7" i="6"/>
  <c r="M7" i="6" s="1"/>
  <c r="J7" i="6"/>
  <c r="L2" i="6"/>
  <c r="K2" i="6"/>
  <c r="M2" i="6" s="1"/>
  <c r="J2" i="6"/>
  <c r="L3" i="6"/>
  <c r="K3" i="6"/>
  <c r="M3" i="6" s="1"/>
  <c r="J3" i="6"/>
  <c r="L11" i="5"/>
  <c r="K11" i="5"/>
  <c r="M11" i="5" s="1"/>
  <c r="J11" i="5"/>
  <c r="L3" i="5"/>
  <c r="K3" i="5"/>
  <c r="M3" i="5" s="1"/>
  <c r="J3" i="5"/>
  <c r="L2" i="5"/>
  <c r="K2" i="5"/>
  <c r="M2" i="5" s="1"/>
  <c r="J2" i="5"/>
  <c r="L4" i="5"/>
  <c r="K4" i="5"/>
  <c r="M4" i="5" s="1"/>
  <c r="J4" i="5"/>
  <c r="L14" i="5"/>
  <c r="K14" i="5"/>
  <c r="M14" i="5" s="1"/>
  <c r="J14" i="5"/>
  <c r="L8" i="5"/>
  <c r="K8" i="5"/>
  <c r="M8" i="5" s="1"/>
  <c r="J8" i="5"/>
  <c r="L7" i="5"/>
  <c r="K7" i="5"/>
  <c r="M7" i="5" s="1"/>
  <c r="J7" i="5"/>
  <c r="L23" i="5"/>
  <c r="K23" i="5"/>
  <c r="M23" i="5" s="1"/>
  <c r="J23" i="5"/>
  <c r="L6" i="5"/>
  <c r="K6" i="5"/>
  <c r="M6" i="5" s="1"/>
  <c r="J6" i="5"/>
  <c r="L24" i="5"/>
  <c r="K24" i="5"/>
  <c r="M24" i="5" s="1"/>
  <c r="J24" i="5"/>
  <c r="L21" i="5"/>
  <c r="K21" i="5"/>
  <c r="M21" i="5" s="1"/>
  <c r="J21" i="5"/>
  <c r="L16" i="5"/>
  <c r="K16" i="5"/>
  <c r="M16" i="5" s="1"/>
  <c r="J16" i="5"/>
  <c r="L9" i="5"/>
  <c r="K9" i="5"/>
  <c r="M9" i="5" s="1"/>
  <c r="J9" i="5"/>
  <c r="L9" i="4"/>
  <c r="K9" i="4"/>
  <c r="M9" i="4" s="1"/>
  <c r="J9" i="4"/>
  <c r="L13" i="4"/>
  <c r="K13" i="4"/>
  <c r="M13" i="4" s="1"/>
  <c r="J13" i="4"/>
  <c r="L2" i="4"/>
  <c r="K2" i="4"/>
  <c r="M2" i="4" s="1"/>
  <c r="J2" i="4"/>
  <c r="L15" i="4"/>
  <c r="K15" i="4"/>
  <c r="M15" i="4" s="1"/>
  <c r="J15" i="4"/>
  <c r="L11" i="4"/>
  <c r="K11" i="4"/>
  <c r="M11" i="4" s="1"/>
  <c r="J11" i="4"/>
  <c r="L12" i="4"/>
  <c r="K12" i="4"/>
  <c r="M12" i="4" s="1"/>
  <c r="J12" i="4"/>
  <c r="L7" i="4"/>
  <c r="K7" i="4"/>
  <c r="M7" i="4" s="1"/>
  <c r="J7" i="4"/>
  <c r="L8" i="4"/>
  <c r="K8" i="4"/>
  <c r="M8" i="4" s="1"/>
  <c r="J8" i="4"/>
  <c r="L3" i="4"/>
  <c r="K3" i="4"/>
  <c r="M3" i="4" s="1"/>
  <c r="J3" i="4"/>
  <c r="M14" i="3"/>
  <c r="M5" i="3"/>
  <c r="M17" i="3"/>
  <c r="M2" i="3"/>
  <c r="M15" i="3"/>
  <c r="M16" i="3"/>
  <c r="M12" i="3"/>
  <c r="M6" i="3"/>
  <c r="M4" i="3"/>
  <c r="J12" i="2"/>
  <c r="J15" i="2"/>
  <c r="J19" i="2"/>
  <c r="J5" i="2"/>
  <c r="J2" i="2"/>
  <c r="J11" i="2"/>
  <c r="J18" i="2"/>
  <c r="J14" i="2"/>
  <c r="J3" i="2"/>
  <c r="J7" i="2"/>
  <c r="J4" i="2"/>
  <c r="J20" i="2"/>
</calcChain>
</file>

<file path=xl/sharedStrings.xml><?xml version="1.0" encoding="utf-8"?>
<sst xmlns="http://schemas.openxmlformats.org/spreadsheetml/2006/main" count="669" uniqueCount="229">
  <si>
    <t>Player</t>
  </si>
  <si>
    <t>Events</t>
  </si>
  <si>
    <t>Player Type</t>
  </si>
  <si>
    <t>Gerry Callanan</t>
  </si>
  <si>
    <t>Home</t>
  </si>
  <si>
    <t>Total Top 3</t>
  </si>
  <si>
    <t>Total Top2/2*3</t>
  </si>
  <si>
    <t>Total Points</t>
  </si>
  <si>
    <t>Total Base on Events</t>
  </si>
  <si>
    <t>Brian Lalor</t>
  </si>
  <si>
    <t>Michael Mc Kee</t>
  </si>
  <si>
    <t>International</t>
  </si>
  <si>
    <t>Adrian Leeson</t>
  </si>
  <si>
    <t>Jonathon Simpson</t>
  </si>
  <si>
    <t>Teddy Reineke</t>
  </si>
  <si>
    <t>David Hazzard</t>
  </si>
  <si>
    <t>Andre Maur</t>
  </si>
  <si>
    <t>Tommy Horgan</t>
  </si>
  <si>
    <t>Rank</t>
  </si>
  <si>
    <t>John Rooney</t>
  </si>
  <si>
    <t>Nigel Peyton</t>
  </si>
  <si>
    <t>Rory Gilligan</t>
  </si>
  <si>
    <t>Mark Furlong</t>
  </si>
  <si>
    <t>Gary Robinson</t>
  </si>
  <si>
    <t>Ronan Peyton</t>
  </si>
  <si>
    <t>Keith Moran</t>
  </si>
  <si>
    <t>Niall Rooney</t>
  </si>
  <si>
    <t>Shane Hickey</t>
  </si>
  <si>
    <t>Mike Howard</t>
  </si>
  <si>
    <t>Kevin Knox</t>
  </si>
  <si>
    <t>Neal Murphy</t>
  </si>
  <si>
    <t>David Ayerst</t>
  </si>
  <si>
    <t>Nick Staunton</t>
  </si>
  <si>
    <t>Shane Shevlin</t>
  </si>
  <si>
    <t>John Hurley</t>
  </si>
  <si>
    <t>Dave Riordan</t>
  </si>
  <si>
    <t>Dara O’Flynn</t>
  </si>
  <si>
    <t>John Dullaghan</t>
  </si>
  <si>
    <t>Peter Birch</t>
  </si>
  <si>
    <t>S. Fasenfeld</t>
  </si>
  <si>
    <t>Cuan Mac Aogáin</t>
  </si>
  <si>
    <t>James Barrett</t>
  </si>
  <si>
    <t>Orla O'Doherty</t>
  </si>
  <si>
    <t>Ali Magee</t>
  </si>
  <si>
    <t>Michelle Heraughty</t>
  </si>
  <si>
    <t>Maureen Duke</t>
  </si>
  <si>
    <t>Lynda Dunlop</t>
  </si>
  <si>
    <t>Joan Gorham</t>
  </si>
  <si>
    <t>Anne Costello</t>
  </si>
  <si>
    <t>Mary O'Duffy</t>
  </si>
  <si>
    <t>Dympna Reardon</t>
  </si>
  <si>
    <t>Sylvia Doyle</t>
  </si>
  <si>
    <t>Beverley Scott</t>
  </si>
  <si>
    <t>Sandra Walsh</t>
  </si>
  <si>
    <t>Sarah Berkeley</t>
  </si>
  <si>
    <t>Kinny Bolton</t>
  </si>
  <si>
    <t>Karam Singh</t>
  </si>
  <si>
    <t>John Dineen</t>
  </si>
  <si>
    <t>David Borton</t>
  </si>
  <si>
    <t>Timmy Mc Carthy</t>
  </si>
  <si>
    <t>Dave Lalor</t>
  </si>
  <si>
    <t>Richard Gallagher</t>
  </si>
  <si>
    <t>Brendan Murphy</t>
  </si>
  <si>
    <t>Herbert Cotter</t>
  </si>
  <si>
    <t>Michael Conlon</t>
  </si>
  <si>
    <t>Donal Coughlan</t>
  </si>
  <si>
    <t>Gerry Delaney</t>
  </si>
  <si>
    <t>Dave Ferguson</t>
  </si>
  <si>
    <t>Michael Roden</t>
  </si>
  <si>
    <t>Shay Hickey</t>
  </si>
  <si>
    <t>Maurice Furgrove</t>
  </si>
  <si>
    <t>James Mc Sweeney</t>
  </si>
  <si>
    <t>Barbara Sanderson</t>
  </si>
  <si>
    <t>Kyran Hurley</t>
  </si>
  <si>
    <t>Martin Maher</t>
  </si>
  <si>
    <t>Jim O’Callaghan</t>
  </si>
  <si>
    <t>John Kielty</t>
  </si>
  <si>
    <t>J. O Shaughnessy</t>
  </si>
  <si>
    <t>Seamus Daly</t>
  </si>
  <si>
    <t>Pat Hanley</t>
  </si>
  <si>
    <t>Robert Peel</t>
  </si>
  <si>
    <t>Brian Burke</t>
  </si>
  <si>
    <t>Toddy Kealy</t>
  </si>
  <si>
    <t>Frank Fahy</t>
  </si>
  <si>
    <t>Ciaran Roche</t>
  </si>
  <si>
    <t>Tom Cantwell</t>
  </si>
  <si>
    <t>Eamon O’Keeffe</t>
  </si>
  <si>
    <t>Ken O’Keeffe</t>
  </si>
  <si>
    <t>Siobhan Parker</t>
  </si>
  <si>
    <t>Lisa Murray</t>
  </si>
  <si>
    <t>Brian Butler</t>
  </si>
  <si>
    <t>Neal Pollock</t>
  </si>
  <si>
    <t>David Cahill</t>
  </si>
  <si>
    <t>Noel Walsh</t>
  </si>
  <si>
    <t>Saoirse O'Sullivan</t>
  </si>
  <si>
    <t>Suzanne O'Shaughnessy</t>
  </si>
  <si>
    <t>Jody Hannon</t>
  </si>
  <si>
    <t>Emily Sweetman</t>
  </si>
  <si>
    <t>Niamh Darcy</t>
  </si>
  <si>
    <t>Ciaran McCoy</t>
  </si>
  <si>
    <t>Cormac Ryan</t>
  </si>
  <si>
    <t>Robert Fay</t>
  </si>
  <si>
    <t>Scott Cumisky</t>
  </si>
  <si>
    <t>Audrey Kiernan</t>
  </si>
  <si>
    <t>Danielle Donohue</t>
  </si>
  <si>
    <t>Veronica Brogan</t>
  </si>
  <si>
    <t>Elaine Fox</t>
  </si>
  <si>
    <t>Eoin Ryan</t>
  </si>
  <si>
    <t>Conor O'Neill</t>
  </si>
  <si>
    <t>Rosemary Kelly</t>
  </si>
  <si>
    <t>Debbie Brown</t>
  </si>
  <si>
    <t>Pat Morrissey</t>
  </si>
  <si>
    <t>Shaun Mc Kee</t>
  </si>
  <si>
    <t>Sean Balfe</t>
  </si>
  <si>
    <t>Aidan O'Colmain</t>
  </si>
  <si>
    <t>Neil Brannagan</t>
  </si>
  <si>
    <t>Leinster Open 19-20</t>
  </si>
  <si>
    <t>Irish Nationals 18-19</t>
  </si>
  <si>
    <t>**</t>
  </si>
  <si>
    <t>Denotes B winner automatically into A draw at next event</t>
  </si>
  <si>
    <t xml:space="preserve">Michael Kavanagh </t>
  </si>
  <si>
    <t>Jim Flynn</t>
  </si>
  <si>
    <t xml:space="preserve">Peter Stephens </t>
  </si>
  <si>
    <t>Norrie O'Grady</t>
  </si>
  <si>
    <t>Christine Mooney</t>
  </si>
  <si>
    <t>Placing</t>
  </si>
  <si>
    <t>Points</t>
  </si>
  <si>
    <t>Winner</t>
  </si>
  <si>
    <t>Runner-up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</si>
  <si>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</si>
  <si>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</si>
  <si>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</si>
  <si>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</si>
  <si>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</si>
  <si>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</si>
  <si>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</si>
  <si>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</si>
  <si>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</si>
  <si>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</si>
  <si>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</si>
  <si>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</si>
  <si>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</si>
  <si>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</si>
  <si>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level 1</t>
  </si>
  <si>
    <t>Karl Gellis</t>
  </si>
  <si>
    <t>Kevin Moore</t>
  </si>
  <si>
    <t>Robert David Reilly</t>
  </si>
  <si>
    <t>Kul Singh</t>
  </si>
  <si>
    <t>Veljiko Kokanavic</t>
  </si>
  <si>
    <t>Munster open 19-20</t>
  </si>
  <si>
    <t xml:space="preserve">Dermot F Sweeney </t>
  </si>
  <si>
    <t>Cathal Lynch</t>
  </si>
  <si>
    <t>Ciara Cullen</t>
  </si>
  <si>
    <t>Jo Hussey</t>
  </si>
  <si>
    <t>Pat Keogh</t>
  </si>
  <si>
    <t>Maciej Truchan</t>
  </si>
  <si>
    <t>Andy Flynn</t>
  </si>
  <si>
    <t>Brendan Connolly</t>
  </si>
  <si>
    <t>James Dunne</t>
  </si>
  <si>
    <t>Joe Nolan</t>
  </si>
  <si>
    <t>Gerard McGoldrick</t>
  </si>
  <si>
    <t>Michael Mulhall</t>
  </si>
  <si>
    <t>Lee Healy</t>
  </si>
  <si>
    <t>Claire O'Neill</t>
  </si>
  <si>
    <t>J M Daly</t>
  </si>
  <si>
    <t>Caroline Coyle</t>
  </si>
  <si>
    <t>Aidan Power</t>
  </si>
  <si>
    <t>Martin Mc Donnell</t>
  </si>
  <si>
    <t>David Gotto</t>
  </si>
  <si>
    <t>Harry Cullen</t>
  </si>
  <si>
    <t>Clive Gilmour</t>
  </si>
  <si>
    <t>Pat McCrisken</t>
  </si>
  <si>
    <t>Mark Whitehead</t>
  </si>
  <si>
    <t>Andrea Redmond</t>
  </si>
  <si>
    <t>Claire Begin</t>
  </si>
  <si>
    <t>Mary Keys</t>
  </si>
  <si>
    <t>Irish Close 19-20</t>
  </si>
  <si>
    <t>Rosie Barry</t>
  </si>
  <si>
    <t>Gerard Connaughton</t>
  </si>
  <si>
    <t>Fran Donnelly</t>
  </si>
  <si>
    <t>Dave Allen</t>
  </si>
  <si>
    <t>Joe Dowley</t>
  </si>
  <si>
    <t>Myron Evans</t>
  </si>
  <si>
    <t>Sam Olwill</t>
  </si>
  <si>
    <t>David Noone</t>
  </si>
  <si>
    <t>Mark Gilland</t>
  </si>
  <si>
    <t>Nuria Smyth</t>
  </si>
  <si>
    <t>Sarah Thornton</t>
  </si>
  <si>
    <t>Rachael McNulty</t>
  </si>
  <si>
    <t>Geoff Wales</t>
  </si>
  <si>
    <t>David Cassidy</t>
  </si>
  <si>
    <t>Andrew Brennan</t>
  </si>
  <si>
    <t>Colm Travers</t>
  </si>
  <si>
    <t>John Cosgrave</t>
  </si>
  <si>
    <t>Rory Gallagher</t>
  </si>
  <si>
    <t>Philip Coleman</t>
  </si>
  <si>
    <t>John Day</t>
  </si>
  <si>
    <t>Aidan Troy</t>
  </si>
  <si>
    <t>Kevin O'Rourke</t>
  </si>
  <si>
    <t>Tom Crowe</t>
  </si>
  <si>
    <t>John Spillane</t>
  </si>
  <si>
    <t>Michael Spillane</t>
  </si>
  <si>
    <t>David Nolan</t>
  </si>
  <si>
    <t>Connacht Open 21</t>
  </si>
  <si>
    <t>Bernard Lee</t>
  </si>
  <si>
    <t>Connacht Open</t>
  </si>
  <si>
    <t>Connacht Open 2021</t>
  </si>
  <si>
    <t>Leinster Open 2021</t>
  </si>
  <si>
    <t>Ryan Crossman</t>
  </si>
  <si>
    <t>Przemek Hofman**</t>
  </si>
  <si>
    <t>John McCartney</t>
  </si>
  <si>
    <t>Timothy O'Callaghan</t>
  </si>
  <si>
    <t>Andrew Gilligan</t>
  </si>
  <si>
    <t>Brian Byrne*</t>
  </si>
  <si>
    <t>Stevie Richardson *</t>
  </si>
  <si>
    <t xml:space="preserve">Damien O'Reilly </t>
  </si>
  <si>
    <t>Deirdre Davys</t>
  </si>
  <si>
    <t>Eugene Maher</t>
  </si>
  <si>
    <t>Rosemary Kelly *</t>
  </si>
  <si>
    <t>Donnagh Crowley</t>
  </si>
  <si>
    <t>Ivam O'Mahony</t>
  </si>
  <si>
    <t>Derek Ryan</t>
  </si>
  <si>
    <t>Jeremy Hastings</t>
  </si>
  <si>
    <t>Clive Morgan</t>
  </si>
  <si>
    <t>Arthur V Daly</t>
  </si>
  <si>
    <t>David Larmour**</t>
  </si>
  <si>
    <t>`Jeremy Bowden</t>
  </si>
  <si>
    <t>Ulster 21</t>
  </si>
  <si>
    <t>Willie Hosey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</si>
</sst>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rgb="FFC0C0C0"/>
      </left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/>
      <right style="thick">
        <color rgb="FFC0C0C0"/>
      </right>
      <top style="thick">
        <color rgb="FFC0C0C0"/>
      </top>
      <bottom style="thick">
        <color rgb="FFC0C0C0"/>
      </bottom>
      <diagonal/>
    </border>
    <border>
      <left style="thick">
        <color rgb="FFC0C0C0"/>
      </left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 wrapText="1"/>
    </xf>
    <xf numFmtId="0" fontId="0" fillId="3" borderId="4" xfId="0" applyFont="1" applyFill="1" applyBorder="1"/>
    <xf numFmtId="0" fontId="0" fillId="3" borderId="5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/>
    <xf numFmtId="0" fontId="3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/>
    <xf numFmtId="0" fontId="2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/>
    <xf numFmtId="0" fontId="0" fillId="3" borderId="11" xfId="0" applyFont="1" applyFill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3" borderId="16" xfId="0" applyFont="1" applyFill="1" applyBorder="1"/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2" fillId="3" borderId="11" xfId="0" applyFont="1" applyFill="1" applyBorder="1" applyAlignment="1"/>
    <xf numFmtId="0" fontId="0" fillId="3" borderId="11" xfId="0" applyFont="1" applyFill="1" applyBorder="1" applyAlignment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20" xfId="0" applyBorder="1"/>
    <xf numFmtId="0" fontId="0" fillId="0" borderId="14" xfId="0" applyBorder="1"/>
    <xf numFmtId="0" fontId="8" fillId="0" borderId="14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2" fillId="3" borderId="12" xfId="0" applyFont="1" applyFill="1" applyBorder="1" applyAlignment="1">
      <alignment horizontal="left" vertical="center" wrapText="1"/>
    </xf>
    <xf numFmtId="0" fontId="6" fillId="0" borderId="20" xfId="0" applyFont="1" applyBorder="1" applyAlignment="1"/>
  </cellXfs>
  <cellStyles count="1">
    <cellStyle name="Normal" xfId="0" builtinId="0"/>
  </cellStyles>
  <dxfs count="186">
    <dxf>
      <font>
        <b/>
      </font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3" name="Table14" displayName="Table14" ref="B1:M22" headerRowDxfId="185">
  <autoFilter ref="B1:M22"/>
  <sortState ref="B2:M22">
    <sortCondition descending="1" ref="J1:J22"/>
  </sortState>
  <tableColumns count="12">
    <tableColumn id="1" name="Player" totalsRowLabel="Total" dataDxfId="184"/>
    <tableColumn id="2" name="Player Type"/>
    <tableColumn id="3" name="Events" dataDxfId="183"/>
    <tableColumn id="4" name="Connacht Open 21" dataDxfId="182"/>
    <tableColumn id="5" name="Leinster Open 19-20" dataDxfId="181"/>
    <tableColumn id="6" name="Munster open 19-20" dataDxfId="180"/>
    <tableColumn id="7" name="Ulster 21" dataDxfId="179"/>
    <tableColumn id="9" name="Irish Close 19-20" dataDxfId="178"/>
    <tableColumn id="10" name="Total Points" dataDxfId="177">
      <calculatedColumnFormula>SUM(Table14[[#This Row],[Connacht Open 21]:[Irish Close 19-20]])</calculatedColumnFormula>
    </tableColumn>
    <tableColumn id="11" name="Total Top 3">
      <calculatedColumnFormula>IFERROR(SUM(LARGE(Table14[[#This Row],[Connacht Open 21]:[Irish Close 19-20]],{1,2,3})),0)</calculatedColumnFormula>
    </tableColumn>
    <tableColumn id="12" name="Total Top2/2*3">
      <calculatedColumnFormula>IFERROR(SUM(LARGE(Table14[[#This Row],[Connacht Open 21]:[Irish Close 19-20]],{1,2})/2*3),0)</calculatedColumnFormula>
    </tableColumn>
    <tableColumn id="13" name="Total Base on Events" totalsRowFunction="sum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" name="Table148111728" displayName="Table148111728" ref="B1:N25" headerRowDxfId="63" totalsRowDxfId="62">
  <autoFilter ref="B1:N25"/>
  <sortState ref="B2:N24">
    <sortCondition descending="1" ref="K1:K24"/>
  </sortState>
  <tableColumns count="13">
    <tableColumn id="1" name="Player" totalsRowLabel="Total" dataDxfId="61"/>
    <tableColumn id="2" name="Player Type" dataDxfId="60"/>
    <tableColumn id="3" name="Events" dataDxfId="59"/>
    <tableColumn id="4" name="Connacht Open 2021" dataDxfId="58"/>
    <tableColumn id="5" name="Leinster Open 19-20" dataDxfId="57"/>
    <tableColumn id="6" name="Munster open 19-20" dataDxfId="56"/>
    <tableColumn id="7" name="Ulster 21" dataDxfId="55"/>
    <tableColumn id="8" name="Irish Nationals 18-19" dataDxfId="54"/>
    <tableColumn id="9" name="Irish Close 19-20" dataDxfId="53"/>
    <tableColumn id="10" name="Total Points" dataDxfId="52">
      <calculatedColumnFormula>SUM(Table148111728[[#This Row],[Connacht Open 2021]:[Irish Close 19-20]])</calculatedColumnFormula>
    </tableColumn>
    <tableColumn id="11" name="Total Top 3" dataDxfId="51">
      <calculatedColumnFormula>IFERROR(SUM(LARGE(Table148111728[[#This Row],[Connacht Open 2021]:[Irish Close 19-20]],{1,2,3})),0)</calculatedColumnFormula>
    </tableColumn>
    <tableColumn id="12" name="Total Top2/2*3" dataDxfId="50">
      <calculatedColumnFormula>IFERROR(SUM(LARGE(Table148111728[[#This Row],[Connacht Open 2021]:[Irish Close 19-20]],{1,2})/2*3),0)</calculatedColumnFormula>
    </tableColumn>
    <tableColumn id="13" name="Total Base on Events" totalsRowFunction="sum" dataDxfId="49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9" name="Table148111730" displayName="Table148111730" ref="B1:M8" headerRowDxfId="48" dataDxfId="47" totalsRowDxfId="46">
  <autoFilter ref="B1:M8"/>
  <sortState ref="B2:M8">
    <sortCondition descending="1" ref="J1:J8"/>
  </sortState>
  <tableColumns count="12">
    <tableColumn id="1" name="Player" totalsRowLabel="Total" dataDxfId="45"/>
    <tableColumn id="2" name="Player Type" dataDxfId="44"/>
    <tableColumn id="3" name="Events" dataDxfId="43"/>
    <tableColumn id="4" name="Connacht Open 2021" dataDxfId="42"/>
    <tableColumn id="5" name="Leinster Open 19-20" dataDxfId="41"/>
    <tableColumn id="6" name="Munster open 19-20" dataDxfId="40"/>
    <tableColumn id="7" name="Ulster 21" dataDxfId="39"/>
    <tableColumn id="9" name="Irish Close 19-20" dataDxfId="38"/>
    <tableColumn id="10" name="Total Points" dataDxfId="37">
      <calculatedColumnFormula>SUM(Table148111730[[#This Row],[Connacht Open 2021]:[Irish Close 19-20]])</calculatedColumnFormula>
    </tableColumn>
    <tableColumn id="11" name="Total Top 3" dataDxfId="36">
      <calculatedColumnFormula>IFERROR(SUM(LARGE(Table148111730[[#This Row],[Connacht Open 2021]:[Irish Close 19-20]],{1,2,3})),0)</calculatedColumnFormula>
    </tableColumn>
    <tableColumn id="12" name="Total Top2/2*3" dataDxfId="35">
      <calculatedColumnFormula>IFERROR(SUM(LARGE(Table148111730[[#This Row],[Connacht Open 2021]:[Irish Close 19-20]],{1,2})/2*3),0)</calculatedColumnFormula>
    </tableColumn>
    <tableColumn id="13" name="Total Base on Events" totalsRowFunction="sum" dataDxfId="34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1" name="Table148111732" displayName="Table148111732" ref="B1:N22" headerRowDxfId="33" dataDxfId="32" totalsRowDxfId="31">
  <autoFilter ref="B1:N22"/>
  <sortState ref="B2:N22">
    <sortCondition descending="1" ref="K1:K22"/>
  </sortState>
  <tableColumns count="13">
    <tableColumn id="1" name="Player" totalsRowLabel="Total" dataDxfId="30"/>
    <tableColumn id="2" name="Player Type" dataDxfId="29"/>
    <tableColumn id="3" name="Events" dataDxfId="28"/>
    <tableColumn id="4" name="Connacht Open 2021" dataDxfId="27"/>
    <tableColumn id="5" name="Leinster Open 19-20" dataDxfId="26"/>
    <tableColumn id="6" name="Munster open 19-20" dataDxfId="25"/>
    <tableColumn id="7" name="Ulster 21" dataDxfId="24"/>
    <tableColumn id="8" name="Irish Nationals 18-19" dataDxfId="23"/>
    <tableColumn id="9" name="Irish Close 19-20" dataDxfId="22"/>
    <tableColumn id="10" name="Total Points" dataDxfId="21">
      <calculatedColumnFormula>SUM(Table148111732[[#This Row],[Connacht Open 2021]:[Irish Close 19-20]])</calculatedColumnFormula>
    </tableColumn>
    <tableColumn id="11" name="Total Top 3" dataDxfId="20">
      <calculatedColumnFormula>IFERROR(SUM(LARGE(Table148111732[[#This Row],[Connacht Open 2021]:[Irish Close 19-20]],{1,2,3})),0)</calculatedColumnFormula>
    </tableColumn>
    <tableColumn id="12" name="Total Top2/2*3" dataDxfId="19">
      <calculatedColumnFormula>IFERROR(SUM(LARGE(Table148111732[[#This Row],[Connacht Open 2021]:[Irish Close 19-20]],{1,2})/2*3),0)</calculatedColumnFormula>
    </tableColumn>
    <tableColumn id="13" name="Total Base on Events" totalsRowFunction="sum" dataDxfId="18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3" name="Table148111734" displayName="Table148111734" ref="B1:N15" headerRowDxfId="17" totalsRowDxfId="16">
  <autoFilter ref="B1:N15"/>
  <sortState ref="B2:N15">
    <sortCondition descending="1" ref="K1:K15"/>
  </sortState>
  <tableColumns count="13">
    <tableColumn id="1" name="Player" totalsRowLabel="Total" dataDxfId="15"/>
    <tableColumn id="2" name="Player Type" dataDxfId="14"/>
    <tableColumn id="3" name="Events" dataDxfId="13"/>
    <tableColumn id="4" name="Connacht Open 2021" dataDxfId="12"/>
    <tableColumn id="5" name="Leinster Open 19-20" dataDxfId="11"/>
    <tableColumn id="6" name="Munster open 19-20" dataDxfId="10"/>
    <tableColumn id="7" name="Ulster 21" dataDxfId="9"/>
    <tableColumn id="8" name="Irish Nationals 18-19" dataDxfId="8"/>
    <tableColumn id="9" name="Irish Close 19-20" dataDxfId="7"/>
    <tableColumn id="10" name="Total Points" dataDxfId="6">
      <calculatedColumnFormula>SUM(Table148111734[[#This Row],[Connacht Open 2021]:[Irish Close 19-20]])</calculatedColumnFormula>
    </tableColumn>
    <tableColumn id="11" name="Total Top 3" dataDxfId="5">
      <calculatedColumnFormula>IFERROR(SUM(LARGE(Table148111734[[#This Row],[Connacht Open 2021]:[Irish Close 19-20]],{1,2,3})),0)</calculatedColumnFormula>
    </tableColumn>
    <tableColumn id="12" name="Total Top2/2*3" dataDxfId="4">
      <calculatedColumnFormula>IFERROR(SUM(LARGE(Table148111734[[#This Row],[Connacht Open 2021]:[Irish Close 19-20]],{1,2})/2*3),0)</calculatedColumnFormula>
    </tableColumn>
    <tableColumn id="13" name="Total Base on Events" totalsRowFunction="sum" dataDxfId="3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" name="Table1481117362" displayName="Table1481117362" ref="B1:N4" headerRowDxfId="2">
  <sortState ref="B2:N4">
    <sortCondition descending="1" ref="N1:N4"/>
  </sortState>
  <tableColumns count="13">
    <tableColumn id="1" name="Player" totalsRowLabel="Total"/>
    <tableColumn id="2" name="Player Type"/>
    <tableColumn id="3" name="Events" dataDxfId="1"/>
    <tableColumn id="4" name="Connacht Open 2021"/>
    <tableColumn id="5" name="Leinster Open 2021"/>
    <tableColumn id="6" name="Munster open 19-20"/>
    <tableColumn id="7" name="Ulster 21"/>
    <tableColumn id="8" name="Irish Nationals 18-19"/>
    <tableColumn id="9" name="Irish Close 19-20"/>
    <tableColumn id="10" name="Total Points" dataDxfId="0">
      <calculatedColumnFormula>SUM(Table1481117362[[#This Row],[Connacht Open 2021]:[Irish Close 19-20]])</calculatedColumnFormula>
    </tableColumn>
    <tableColumn id="11" name="Total Top 3">
      <calculatedColumnFormula>IFERROR(SUM(LARGE(Table1481117362[[#This Row],[Connacht Open 2021]:[Irish Close 19-20]],{1,2,3})),0)</calculatedColumnFormula>
    </tableColumn>
    <tableColumn id="12" name="Total Top2/2*3">
      <calculatedColumnFormula>IFERROR(SUM(LARGE(Table1481117362[[#This Row],[Connacht Open 2021]:[Irish Close 19-20]],{1,2})/2*3),0)</calculatedColumnFormula>
    </tableColumn>
    <tableColumn id="13" name="Total Base on Events" totalsRowFunction="sum">
      <calculatedColumnFormula>IF(D2=3,L2,M2)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148" displayName="Table148" ref="B1:M22" headerRowDxfId="176" totalsRowDxfId="175">
  <autoFilter ref="B1:M22"/>
  <sortState ref="B2:M22">
    <sortCondition descending="1" ref="J1:J22"/>
  </sortState>
  <tableColumns count="12">
    <tableColumn id="1" name="Player" totalsRowLabel="Total" dataDxfId="174"/>
    <tableColumn id="2" name="Player Type" dataDxfId="173"/>
    <tableColumn id="3" name="Events" dataDxfId="172"/>
    <tableColumn id="4" name="Connacht Open" dataDxfId="171"/>
    <tableColumn id="5" name="Leinster Open 19-20" dataDxfId="170"/>
    <tableColumn id="6" name="Munster open 19-20" dataDxfId="169"/>
    <tableColumn id="7" name="Ulster 21" dataDxfId="168"/>
    <tableColumn id="9" name="Irish Close 19-20" dataDxfId="167"/>
    <tableColumn id="10" name="Total Points" dataDxfId="166">
      <calculatedColumnFormula>SUM(Table148[[#This Row],[Connacht Open]:[Irish Close 19-20]])</calculatedColumnFormula>
    </tableColumn>
    <tableColumn id="11" name="Total Top 3" dataDxfId="165">
      <calculatedColumnFormula>IFERROR(SUM(LARGE(Table148[[#This Row],[Connacht Open]:[Irish Close 19-20]],{1,2,3})),0)</calculatedColumnFormula>
    </tableColumn>
    <tableColumn id="12" name="Total Top2/2*3" dataDxfId="164">
      <calculatedColumnFormula>IFERROR(SUM(LARGE(Table148[[#This Row],[Connacht Open]:[Irish Close 19-20]],{1,2})/2*3),0)</calculatedColumnFormula>
    </tableColumn>
    <tableColumn id="13" name="Total Base on Events" totalsRowFunction="sum" dataDxfId="163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4811" displayName="Table14811" ref="B1:M20" headerRowDxfId="162" totalsRowDxfId="161">
  <autoFilter ref="B1:M20"/>
  <sortState ref="B2:M20">
    <sortCondition descending="1" ref="J1:J20"/>
  </sortState>
  <tableColumns count="12">
    <tableColumn id="1" name="Player" totalsRowLabel="Total" dataDxfId="160"/>
    <tableColumn id="2" name="Player Type" dataDxfId="159"/>
    <tableColumn id="3" name="Events" dataDxfId="158"/>
    <tableColumn id="4" name="Connacht Open" dataDxfId="157"/>
    <tableColumn id="5" name="Leinster Open 19-20" dataDxfId="156"/>
    <tableColumn id="6" name="Munster open 19-20" dataDxfId="155"/>
    <tableColumn id="8" name="Ulster 21" dataDxfId="154"/>
    <tableColumn id="9" name="Irish Close 19-20" dataDxfId="153"/>
    <tableColumn id="10" name="Total Points" dataDxfId="152">
      <calculatedColumnFormula>SUM(Table14811[[#This Row],[Connacht Open]:[Irish Close 19-20]])</calculatedColumnFormula>
    </tableColumn>
    <tableColumn id="11" name="Total Top 3" dataDxfId="151">
      <calculatedColumnFormula>IFERROR(SUM(LARGE(Table14811[[#This Row],[Connacht Open]:[Irish Close 19-20]],{1,2,3})),0)</calculatedColumnFormula>
    </tableColumn>
    <tableColumn id="12" name="Total Top2/2*3" dataDxfId="150">
      <calculatedColumnFormula>IFERROR(SUM(LARGE(Table14811[[#This Row],[Connacht Open]:[Irish Close 19-20]],{1,2})/2*3),0)</calculatedColumnFormula>
    </tableColumn>
    <tableColumn id="13" name="Total Base on Events" totalsRowFunction="sum" dataDxfId="149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3" name="Table1481114" displayName="Table1481114" ref="B1:M24" headerRowDxfId="148" dataDxfId="147" totalsRowDxfId="146">
  <autoFilter ref="B1:M24"/>
  <sortState ref="B2:M24">
    <sortCondition descending="1" ref="J1:J24"/>
  </sortState>
  <tableColumns count="12">
    <tableColumn id="1" name="Player" totalsRowLabel="Total" dataDxfId="145"/>
    <tableColumn id="2" name="Player Type" dataDxfId="144"/>
    <tableColumn id="3" name="Events" dataDxfId="143"/>
    <tableColumn id="4" name="Connacht Open 2021" dataDxfId="142"/>
    <tableColumn id="5" name="Leinster Open 19-20" dataDxfId="141"/>
    <tableColumn id="6" name="Munster open 19-20" dataDxfId="140"/>
    <tableColumn id="7" name="Ulster 21" dataDxfId="139"/>
    <tableColumn id="9" name="Irish Close 19-20" dataDxfId="138"/>
    <tableColumn id="10" name="Total Points" dataDxfId="137">
      <calculatedColumnFormula>SUM(Table1481114[[#This Row],[Connacht Open 2021]:[Irish Close 19-20]])</calculatedColumnFormula>
    </tableColumn>
    <tableColumn id="11" name="Total Top 3" dataDxfId="136">
      <calculatedColumnFormula>IFERROR(SUM(LARGE(Table1481114[[#This Row],[Connacht Open 2021]:[Irish Close 19-20]],{1,2,3})),0)</calculatedColumnFormula>
    </tableColumn>
    <tableColumn id="12" name="Total Top2/2*3" dataDxfId="135">
      <calculatedColumnFormula>IFERROR(SUM(LARGE(Table1481114[[#This Row],[Connacht Open 2021]:[Irish Close 19-20]],{1,2})/2*3),0)</calculatedColumnFormula>
    </tableColumn>
    <tableColumn id="13" name="Total Base on Events" totalsRowFunction="sum" dataDxfId="134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481117" displayName="Table1481117" ref="B1:M14" headerRowDxfId="133" totalsRowDxfId="132">
  <autoFilter ref="B1:M14"/>
  <sortState ref="B2:M14">
    <sortCondition descending="1" ref="J1:J14"/>
  </sortState>
  <tableColumns count="12">
    <tableColumn id="1" name="Player" totalsRowLabel="Total" dataDxfId="131"/>
    <tableColumn id="2" name="Player Type" dataDxfId="130"/>
    <tableColumn id="3" name="Events" dataDxfId="129"/>
    <tableColumn id="4" name="Connacht Open 21" dataDxfId="128"/>
    <tableColumn id="5" name="Leinster Open 19-20" dataDxfId="127"/>
    <tableColumn id="6" name="Munster open 19-20" dataDxfId="126"/>
    <tableColumn id="7" name="Ulster 21" dataDxfId="125"/>
    <tableColumn id="9" name="Irish Close 19-20" dataDxfId="124"/>
    <tableColumn id="10" name="Total Points" dataDxfId="123">
      <calculatedColumnFormula>SUM(Table1481117[[#This Row],[Connacht Open 21]:[Irish Close 19-20]])</calculatedColumnFormula>
    </tableColumn>
    <tableColumn id="11" name="Total Top 3" dataDxfId="122">
      <calculatedColumnFormula>IFERROR(SUM(LARGE(Table1481117[[#This Row],[Connacht Open 21]:[Irish Close 19-20]],{1,2,3})),0)</calculatedColumnFormula>
    </tableColumn>
    <tableColumn id="12" name="Total Top2/2*3" dataDxfId="121">
      <calculatedColumnFormula>IFERROR(SUM(LARGE(Table1481117[[#This Row],[Connacht Open 21]:[Irish Close 19-20]],{1,2})/2*3),0)</calculatedColumnFormula>
    </tableColumn>
    <tableColumn id="13" name="Total Base on Events" totalsRowFunction="sum" dataDxfId="120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9" name="Table148111720" displayName="Table148111720" ref="B1:M20" headerRowDxfId="119" totalsRowDxfId="118">
  <autoFilter ref="B1:M20"/>
  <sortState ref="B2:M20">
    <sortCondition descending="1" ref="J1:J20"/>
  </sortState>
  <tableColumns count="12">
    <tableColumn id="1" name="Player" totalsRowLabel="Total" dataDxfId="117"/>
    <tableColumn id="2" name="Player Type" dataDxfId="116"/>
    <tableColumn id="3" name="Events" dataDxfId="115"/>
    <tableColumn id="4" name="Connacht Open 2021" dataDxfId="114"/>
    <tableColumn id="5" name="Leinster Open 19-20" dataDxfId="113"/>
    <tableColumn id="6" name="Munster open 19-20" dataDxfId="112"/>
    <tableColumn id="7" name="Ulster 21" dataDxfId="111"/>
    <tableColumn id="9" name="Irish Close 19-20" dataDxfId="110"/>
    <tableColumn id="10" name="Total Points" dataDxfId="109">
      <calculatedColumnFormula>SUM(Table148111720[[#This Row],[Connacht Open 2021]:[Irish Close 19-20]])</calculatedColumnFormula>
    </tableColumn>
    <tableColumn id="11" name="Total Top 3" dataDxfId="108">
      <calculatedColumnFormula>IFERROR(SUM(LARGE(Table148111720[[#This Row],[Connacht Open 2021]:[Irish Close 19-20]],{1,2,3})),0)</calculatedColumnFormula>
    </tableColumn>
    <tableColumn id="12" name="Total Top2/2*3" dataDxfId="107">
      <calculatedColumnFormula>IFERROR(SUM(LARGE(Table148111720[[#This Row],[Connacht Open 2021]:[Irish Close 19-20]],{1,2})/2*3),0)</calculatedColumnFormula>
    </tableColumn>
    <tableColumn id="13" name="Total Base on Events" totalsRowFunction="sum" dataDxfId="106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1" name="Table148111722" displayName="Table148111722" ref="B1:M11" headerRowDxfId="105" totalsRowDxfId="104">
  <autoFilter ref="B1:M11"/>
  <sortState ref="B2:M11">
    <sortCondition descending="1" ref="J1:J11"/>
  </sortState>
  <tableColumns count="12">
    <tableColumn id="1" name="Player" totalsRowLabel="Total" dataDxfId="103"/>
    <tableColumn id="2" name="Player Type" dataDxfId="102"/>
    <tableColumn id="3" name="Events" dataDxfId="101"/>
    <tableColumn id="4" name="Connacht Open" dataDxfId="100"/>
    <tableColumn id="5" name="Leinster Open 19-20" dataDxfId="99"/>
    <tableColumn id="6" name="Munster open 19-20" dataDxfId="98"/>
    <tableColumn id="7" name="Ulster 21" dataDxfId="97"/>
    <tableColumn id="9" name="Irish Close 19-20" dataDxfId="96"/>
    <tableColumn id="10" name="Total Points" dataDxfId="95">
      <calculatedColumnFormula>SUM(Table148111722[[#This Row],[Connacht Open]:[Irish Close 19-20]])</calculatedColumnFormula>
    </tableColumn>
    <tableColumn id="11" name="Total Top 3" dataDxfId="94">
      <calculatedColumnFormula>IFERROR(SUM(LARGE(Table148111722[[#This Row],[Connacht Open]:[Irish Close 19-20]],{1,2,3})),0)</calculatedColumnFormula>
    </tableColumn>
    <tableColumn id="12" name="Total Top2/2*3" dataDxfId="93">
      <calculatedColumnFormula>IFERROR(SUM(LARGE(Table148111722[[#This Row],[Connacht Open]:[Irish Close 19-20]],{1,2})/2*3),0)</calculatedColumnFormula>
    </tableColumn>
    <tableColumn id="13" name="Total Base on Events" totalsRowFunction="sum" dataDxfId="92">
      <calculatedColumnFormula>IF(D2=3,K2,L2)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3" name="Table148111724" displayName="Table148111724" ref="B1:M25" headerRowDxfId="91" totalsRowDxfId="90">
  <autoFilter ref="B1:M25"/>
  <sortState ref="B2:M25">
    <sortCondition descending="1" ref="J1:J25"/>
  </sortState>
  <tableColumns count="12">
    <tableColumn id="1" name="Player" totalsRowLabel="Total" dataDxfId="89"/>
    <tableColumn id="2" name="Player Type" dataDxfId="88"/>
    <tableColumn id="3" name="Events" dataDxfId="87"/>
    <tableColumn id="4" name="Connacht Open 2021" dataDxfId="86"/>
    <tableColumn id="5" name="Leinster Open 19-20" dataDxfId="85"/>
    <tableColumn id="6" name="Munster open 19-20" dataDxfId="84"/>
    <tableColumn id="7" name="Ulster 21" dataDxfId="83"/>
    <tableColumn id="9" name="Irish Close 19-20" dataDxfId="82"/>
    <tableColumn id="10" name="Total Points" dataDxfId="81">
      <calculatedColumnFormula>SUM(Table148111724[[#This Row],[Connacht Open 2021]:[Irish Close 19-20]])</calculatedColumnFormula>
    </tableColumn>
    <tableColumn id="11" name="Total Top 3" dataDxfId="80">
      <calculatedColumnFormula>IFERROR(SUM(LARGE(Table148111724[[#This Row],[Connacht Open 2021]:[Irish Close 19-20]],{1,2,3})),0)</calculatedColumnFormula>
    </tableColumn>
    <tableColumn id="12" name="Total Top2/2*3" dataDxfId="79">
      <calculatedColumnFormula>IFERROR(SUM(LARGE(Table148111724[[#This Row],[Connacht Open 2021]:[Irish Close 19-20]],{1,2})/2*3),0)</calculatedColumnFormula>
    </tableColumn>
    <tableColumn id="13" name="Total Base on Events" totalsRowFunction="sum" dataDxfId="78">
      <calculatedColumnFormula>IF('Mens 60s'!D17=3,K2,L2)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5" name="Table148111726" displayName="Table148111726" ref="B1:M9" headerRowDxfId="77" totalsRowDxfId="76">
  <autoFilter ref="B1:M9"/>
  <sortState ref="B2:M9">
    <sortCondition descending="1" ref="J1:J9"/>
  </sortState>
  <tableColumns count="12">
    <tableColumn id="1" name="Player" totalsRowLabel="Total" dataDxfId="75"/>
    <tableColumn id="2" name="Player Type" dataDxfId="74"/>
    <tableColumn id="3" name="Events" dataDxfId="73"/>
    <tableColumn id="4" name="Connacht Open" dataDxfId="72"/>
    <tableColumn id="5" name="Leinster Open 19-20" dataDxfId="71"/>
    <tableColumn id="6" name="Munster open 19-20" dataDxfId="70"/>
    <tableColumn id="7" name="Ulster 21" dataDxfId="69"/>
    <tableColumn id="9" name="Irish Close 19-20" dataDxfId="68"/>
    <tableColumn id="10" name="Total Points" dataDxfId="67">
      <calculatedColumnFormula>SUM(Table148111726[[#This Row],[Connacht Open]:[Irish Close 19-20]])</calculatedColumnFormula>
    </tableColumn>
    <tableColumn id="11" name="Total Top 3" dataDxfId="66">
      <calculatedColumnFormula>IFERROR(SUM(LARGE(Table148111726[[#This Row],[Connacht Open]:[Irish Close 19-20]],{1,2,3})),0)</calculatedColumnFormula>
    </tableColumn>
    <tableColumn id="12" name="Total Top2/2*3" dataDxfId="65">
      <calculatedColumnFormula>IFERROR(SUM(LARGE(Table148111726[[#This Row],[Connacht Open]:[Irish Close 19-20]],{1,2})/2*3),0)</calculatedColumnFormula>
    </tableColumn>
    <tableColumn id="13" name="Total Base on Events" totalsRowFunction="sum" dataDxfId="64">
      <calculatedColumnFormula>IF(D2=3,K2,L2)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60" zoomScaleNormal="60" workbookViewId="0">
      <selection activeCell="C21" sqref="C21"/>
    </sheetView>
  </sheetViews>
  <sheetFormatPr defaultColWidth="34" defaultRowHeight="18.75" x14ac:dyDescent="0.3"/>
  <cols>
    <col min="1" max="1" width="6.85546875" bestFit="1" customWidth="1"/>
    <col min="2" max="2" width="34" style="41"/>
    <col min="3" max="3" width="22.5703125" customWidth="1"/>
    <col min="4" max="4" width="11" style="2" customWidth="1"/>
    <col min="5" max="5" width="32.42578125" customWidth="1"/>
    <col min="9" max="9" width="25" style="2" customWidth="1"/>
    <col min="10" max="10" width="23" style="72" customWidth="1"/>
    <col min="11" max="11" width="1.42578125" hidden="1" customWidth="1"/>
    <col min="12" max="12" width="1.5703125" hidden="1" customWidth="1"/>
    <col min="13" max="13" width="20.28515625" customWidth="1"/>
  </cols>
  <sheetData>
    <row r="1" spans="1:13" s="1" customFormat="1" ht="36.75" customHeight="1" x14ac:dyDescent="0.3">
      <c r="A1" s="3" t="s">
        <v>18</v>
      </c>
      <c r="B1" s="40" t="s">
        <v>0</v>
      </c>
      <c r="C1" s="1" t="s">
        <v>2</v>
      </c>
      <c r="D1" s="1" t="s">
        <v>1</v>
      </c>
      <c r="E1" s="1" t="s">
        <v>203</v>
      </c>
      <c r="F1" s="1" t="s">
        <v>116</v>
      </c>
      <c r="G1" s="1" t="s">
        <v>149</v>
      </c>
      <c r="H1" s="1" t="s">
        <v>227</v>
      </c>
      <c r="I1" s="29" t="s">
        <v>176</v>
      </c>
      <c r="J1" s="71" t="s">
        <v>7</v>
      </c>
      <c r="K1" s="1" t="s">
        <v>5</v>
      </c>
      <c r="L1" s="1" t="s">
        <v>6</v>
      </c>
      <c r="M1" s="1" t="s">
        <v>8</v>
      </c>
    </row>
    <row r="2" spans="1:13" x14ac:dyDescent="0.3">
      <c r="A2" s="4">
        <v>1</v>
      </c>
      <c r="B2" s="31" t="s">
        <v>26</v>
      </c>
      <c r="C2" t="s">
        <v>4</v>
      </c>
      <c r="D2" s="2">
        <v>3</v>
      </c>
      <c r="E2" s="23">
        <v>0</v>
      </c>
      <c r="F2" s="22">
        <v>0</v>
      </c>
      <c r="G2" s="22">
        <v>140</v>
      </c>
      <c r="H2" s="22">
        <v>0</v>
      </c>
      <c r="I2" s="13">
        <v>125</v>
      </c>
      <c r="J2" s="72">
        <f>SUM(Table14[[#This Row],[Connacht Open 21]:[Irish Close 19-20]])</f>
        <v>265</v>
      </c>
      <c r="K2">
        <f>IFERROR(SUM(LARGE(Table14[[#This Row],[Connacht Open 21]:[Irish Close 19-20]],{1,2,3})),0)</f>
        <v>265</v>
      </c>
      <c r="L2">
        <f>IFERROR(SUM(LARGE(Table14[[#This Row],[Connacht Open 21]:[Irish Close 19-20]],{1,2})/2*3),0)</f>
        <v>397.5</v>
      </c>
      <c r="M2">
        <f t="shared" ref="M2:M22" si="0">IF(D2=3,K2,L2)</f>
        <v>265</v>
      </c>
    </row>
    <row r="3" spans="1:13" x14ac:dyDescent="0.3">
      <c r="A3" s="4">
        <v>2</v>
      </c>
      <c r="B3" s="31" t="s">
        <v>22</v>
      </c>
      <c r="C3" t="s">
        <v>4</v>
      </c>
      <c r="D3" s="2">
        <v>3</v>
      </c>
      <c r="E3" s="23">
        <v>70</v>
      </c>
      <c r="F3" s="22">
        <v>0</v>
      </c>
      <c r="G3" s="22">
        <v>70</v>
      </c>
      <c r="H3" s="22">
        <v>70</v>
      </c>
      <c r="I3" s="13">
        <v>45</v>
      </c>
      <c r="J3" s="72">
        <f>SUM(Table14[[#This Row],[Connacht Open 21]:[Irish Close 19-20]])</f>
        <v>255</v>
      </c>
      <c r="K3">
        <f>IFERROR(SUM(LARGE(Table14[[#This Row],[Connacht Open 21]:[Irish Close 19-20]],{1,2,3})),0)</f>
        <v>210</v>
      </c>
      <c r="L3">
        <f>IFERROR(SUM(LARGE(Table14[[#This Row],[Connacht Open 21]:[Irish Close 19-20]],{1,2})/2*3),0)</f>
        <v>210</v>
      </c>
      <c r="M3">
        <f t="shared" si="0"/>
        <v>210</v>
      </c>
    </row>
    <row r="4" spans="1:13" x14ac:dyDescent="0.3">
      <c r="A4" s="4">
        <v>3</v>
      </c>
      <c r="B4" s="31" t="s">
        <v>21</v>
      </c>
      <c r="C4" t="s">
        <v>4</v>
      </c>
      <c r="D4" s="2">
        <v>3</v>
      </c>
      <c r="E4" s="23">
        <v>100</v>
      </c>
      <c r="F4" s="22">
        <v>70</v>
      </c>
      <c r="G4" s="22">
        <v>0</v>
      </c>
      <c r="H4" s="22">
        <v>0</v>
      </c>
      <c r="I4" s="13">
        <v>65</v>
      </c>
      <c r="J4" s="72">
        <f>SUM(Table14[[#This Row],[Connacht Open 21]:[Irish Close 19-20]])</f>
        <v>235</v>
      </c>
      <c r="K4">
        <f>IFERROR(SUM(LARGE(Table14[[#This Row],[Connacht Open 21]:[Irish Close 19-20]],{1,2,3})),0)</f>
        <v>235</v>
      </c>
      <c r="L4">
        <f>IFERROR(SUM(LARGE(Table14[[#This Row],[Connacht Open 21]:[Irish Close 19-20]],{1,2})/2*3),0)</f>
        <v>255</v>
      </c>
      <c r="M4">
        <f t="shared" si="0"/>
        <v>235</v>
      </c>
    </row>
    <row r="5" spans="1:13" x14ac:dyDescent="0.3">
      <c r="A5" s="4">
        <v>4</v>
      </c>
      <c r="B5" s="31" t="s">
        <v>27</v>
      </c>
      <c r="C5" t="s">
        <v>4</v>
      </c>
      <c r="D5" s="2">
        <v>3</v>
      </c>
      <c r="E5" s="23">
        <v>30</v>
      </c>
      <c r="F5" s="22">
        <v>40</v>
      </c>
      <c r="G5" s="22">
        <v>40</v>
      </c>
      <c r="H5" s="22">
        <v>50</v>
      </c>
      <c r="I5" s="21">
        <v>35</v>
      </c>
      <c r="J5" s="72">
        <f>SUM(Table14[[#This Row],[Connacht Open 21]:[Irish Close 19-20]])</f>
        <v>195</v>
      </c>
      <c r="K5">
        <f>IFERROR(SUM(LARGE(Table14[[#This Row],[Connacht Open 21]:[Irish Close 19-20]],{1,2,3})),0)</f>
        <v>130</v>
      </c>
      <c r="L5">
        <f>IFERROR(SUM(LARGE(Table14[[#This Row],[Connacht Open 21]:[Irish Close 19-20]],{1,2})/2*3),0)</f>
        <v>135</v>
      </c>
      <c r="M5">
        <f t="shared" si="0"/>
        <v>130</v>
      </c>
    </row>
    <row r="6" spans="1:13" x14ac:dyDescent="0.3">
      <c r="A6" s="4">
        <v>5</v>
      </c>
      <c r="B6" s="31" t="s">
        <v>183</v>
      </c>
      <c r="C6" t="s">
        <v>4</v>
      </c>
      <c r="D6" s="2">
        <v>3</v>
      </c>
      <c r="E6" s="22">
        <v>50</v>
      </c>
      <c r="F6" s="53">
        <v>0</v>
      </c>
      <c r="G6" s="22">
        <v>0</v>
      </c>
      <c r="H6" s="22">
        <v>140</v>
      </c>
      <c r="I6" s="13">
        <v>0</v>
      </c>
      <c r="J6" s="72">
        <f>SUM(Table14[[#This Row],[Connacht Open 21]:[Irish Close 19-20]])</f>
        <v>190</v>
      </c>
      <c r="K6">
        <f>IFERROR(SUM(LARGE(Table14[[#This Row],[Connacht Open 21]:[Irish Close 19-20]],{1,2,3})),0)</f>
        <v>190</v>
      </c>
      <c r="L6">
        <f>IFERROR(SUM(LARGE(Table14[[#This Row],[Connacht Open 21]:[Irish Close 19-20]],{1,2})/2*3),0)</f>
        <v>285</v>
      </c>
      <c r="M6">
        <f t="shared" si="0"/>
        <v>190</v>
      </c>
    </row>
    <row r="7" spans="1:13" x14ac:dyDescent="0.3">
      <c r="A7" s="4">
        <v>6</v>
      </c>
      <c r="B7" s="31" t="s">
        <v>87</v>
      </c>
      <c r="C7" t="s">
        <v>4</v>
      </c>
      <c r="D7" s="2">
        <v>3</v>
      </c>
      <c r="E7" s="23">
        <v>35</v>
      </c>
      <c r="F7" s="22">
        <v>50</v>
      </c>
      <c r="G7" s="22">
        <v>50</v>
      </c>
      <c r="H7" s="22">
        <v>0</v>
      </c>
      <c r="I7" s="21">
        <v>50</v>
      </c>
      <c r="J7" s="72">
        <f>SUM(Table14[[#This Row],[Connacht Open 21]:[Irish Close 19-20]])</f>
        <v>185</v>
      </c>
      <c r="K7">
        <f>IFERROR(SUM(LARGE(Table14[[#This Row],[Connacht Open 21]:[Irish Close 19-20]],{1,2,3})),0)</f>
        <v>150</v>
      </c>
      <c r="L7">
        <f>IFERROR(SUM(LARGE(Table14[[#This Row],[Connacht Open 21]:[Irish Close 19-20]],{1,2})/2*3),0)</f>
        <v>150</v>
      </c>
      <c r="M7">
        <f t="shared" si="0"/>
        <v>150</v>
      </c>
    </row>
    <row r="8" spans="1:13" x14ac:dyDescent="0.3">
      <c r="A8" s="4">
        <v>7</v>
      </c>
      <c r="B8" s="39" t="s">
        <v>19</v>
      </c>
      <c r="C8" t="s">
        <v>4</v>
      </c>
      <c r="D8" s="2">
        <v>3</v>
      </c>
      <c r="E8" s="23">
        <v>0</v>
      </c>
      <c r="F8" s="22">
        <v>0</v>
      </c>
      <c r="G8" s="22">
        <v>0</v>
      </c>
      <c r="H8" s="22">
        <v>0</v>
      </c>
      <c r="I8" s="21">
        <v>175</v>
      </c>
      <c r="J8" s="72">
        <f>SUM(Table14[[#This Row],[Connacht Open 21]:[Irish Close 19-20]])</f>
        <v>175</v>
      </c>
      <c r="K8">
        <f>IFERROR(SUM(LARGE(Table14[[#This Row],[Connacht Open 21]:[Irish Close 19-20]],{1,2,3})),0)</f>
        <v>175</v>
      </c>
      <c r="L8">
        <f>IFERROR(SUM(LARGE(Table14[[#This Row],[Connacht Open 21]:[Irish Close 19-20]],{1,2})/2*3),0)</f>
        <v>262.5</v>
      </c>
      <c r="M8">
        <f t="shared" si="0"/>
        <v>175</v>
      </c>
    </row>
    <row r="9" spans="1:13" x14ac:dyDescent="0.3">
      <c r="A9" s="4">
        <v>8</v>
      </c>
      <c r="B9" s="31" t="s">
        <v>184</v>
      </c>
      <c r="C9" t="s">
        <v>4</v>
      </c>
      <c r="D9" s="2">
        <v>3</v>
      </c>
      <c r="E9" s="22">
        <v>140</v>
      </c>
      <c r="F9" s="53">
        <v>0</v>
      </c>
      <c r="G9" s="22">
        <v>0</v>
      </c>
      <c r="H9" s="22">
        <v>0</v>
      </c>
      <c r="I9" s="13">
        <v>0</v>
      </c>
      <c r="J9" s="72">
        <f>SUM(Table14[[#This Row],[Connacht Open 21]:[Irish Close 19-20]])</f>
        <v>140</v>
      </c>
      <c r="K9">
        <f>IFERROR(SUM(LARGE(Table14[[#This Row],[Connacht Open 21]:[Irish Close 19-20]],{1,2,3})),0)</f>
        <v>140</v>
      </c>
      <c r="L9">
        <f>IFERROR(SUM(LARGE(Table14[[#This Row],[Connacht Open 21]:[Irish Close 19-20]],{1,2})/2*3),0)</f>
        <v>210</v>
      </c>
      <c r="M9">
        <f t="shared" si="0"/>
        <v>140</v>
      </c>
    </row>
    <row r="10" spans="1:13" x14ac:dyDescent="0.3">
      <c r="A10" s="4">
        <v>9</v>
      </c>
      <c r="B10" s="39" t="s">
        <v>219</v>
      </c>
      <c r="D10" s="87">
        <v>3</v>
      </c>
      <c r="E10" s="23">
        <v>0</v>
      </c>
      <c r="F10" s="53">
        <v>0</v>
      </c>
      <c r="G10" s="22">
        <v>0</v>
      </c>
      <c r="H10" s="22">
        <v>100</v>
      </c>
      <c r="I10" s="13">
        <v>0</v>
      </c>
      <c r="J10" s="72">
        <f>SUM(Table14[[#This Row],[Connacht Open 21]:[Irish Close 19-20]])</f>
        <v>100</v>
      </c>
      <c r="K10">
        <f>IFERROR(SUM(LARGE(Table14[[#This Row],[Connacht Open 21]:[Irish Close 19-20]],{1,2,3})),0)</f>
        <v>100</v>
      </c>
      <c r="L10">
        <f>IFERROR(SUM(LARGE(Table14[[#This Row],[Connacht Open 21]:[Irish Close 19-20]],{1,2})/2*3),0)</f>
        <v>150</v>
      </c>
      <c r="M10">
        <f t="shared" si="0"/>
        <v>100</v>
      </c>
    </row>
    <row r="11" spans="1:13" x14ac:dyDescent="0.3">
      <c r="A11" s="4">
        <v>10</v>
      </c>
      <c r="B11" s="31" t="s">
        <v>204</v>
      </c>
      <c r="C11" t="s">
        <v>4</v>
      </c>
      <c r="D11" s="2">
        <v>3</v>
      </c>
      <c r="E11" s="23">
        <v>25</v>
      </c>
      <c r="F11" s="22">
        <v>0</v>
      </c>
      <c r="G11" s="22">
        <v>0</v>
      </c>
      <c r="H11" s="22">
        <v>35</v>
      </c>
      <c r="I11" s="13">
        <v>30</v>
      </c>
      <c r="J11" s="72">
        <f>SUM(Table14[[#This Row],[Connacht Open 21]:[Irish Close 19-20]])</f>
        <v>90</v>
      </c>
      <c r="K11">
        <f>IFERROR(SUM(LARGE(Table14[[#This Row],[Connacht Open 21]:[Irish Close 19-20]],{1,2,3})),0)</f>
        <v>90</v>
      </c>
      <c r="L11">
        <f>IFERROR(SUM(LARGE(Table14[[#This Row],[Connacht Open 21]:[Irish Close 19-20]],{1,2})/2*3),0)</f>
        <v>97.5</v>
      </c>
      <c r="M11">
        <f t="shared" si="0"/>
        <v>90</v>
      </c>
    </row>
    <row r="12" spans="1:13" x14ac:dyDescent="0.3">
      <c r="A12" s="4">
        <v>11</v>
      </c>
      <c r="B12" s="39" t="s">
        <v>185</v>
      </c>
      <c r="C12" t="s">
        <v>4</v>
      </c>
      <c r="D12" s="2">
        <v>3</v>
      </c>
      <c r="E12" s="22">
        <v>40</v>
      </c>
      <c r="F12" s="54">
        <v>0</v>
      </c>
      <c r="G12" s="22">
        <v>0</v>
      </c>
      <c r="H12" s="22">
        <v>40</v>
      </c>
      <c r="I12" s="13">
        <v>0</v>
      </c>
      <c r="J12" s="72">
        <f>SUM(Table14[[#This Row],[Connacht Open 21]:[Irish Close 19-20]])</f>
        <v>80</v>
      </c>
      <c r="K12">
        <f>IFERROR(SUM(LARGE(Table14[[#This Row],[Connacht Open 21]:[Irish Close 19-20]],{1,2,3})),0)</f>
        <v>80</v>
      </c>
      <c r="L12">
        <f>IFERROR(SUM(LARGE(Table14[[#This Row],[Connacht Open 21]:[Irish Close 19-20]],{1,2})/2*3),0)</f>
        <v>120</v>
      </c>
      <c r="M12">
        <f t="shared" si="0"/>
        <v>80</v>
      </c>
    </row>
    <row r="13" spans="1:13" x14ac:dyDescent="0.3">
      <c r="A13" s="4">
        <v>12</v>
      </c>
      <c r="B13" s="31" t="s">
        <v>144</v>
      </c>
      <c r="C13" t="s">
        <v>4</v>
      </c>
      <c r="D13" s="2">
        <v>3</v>
      </c>
      <c r="E13" s="23">
        <v>0</v>
      </c>
      <c r="F13" s="22">
        <v>0</v>
      </c>
      <c r="G13" s="22">
        <v>35</v>
      </c>
      <c r="H13" s="22">
        <v>0</v>
      </c>
      <c r="I13" s="21">
        <v>0</v>
      </c>
      <c r="J13" s="72">
        <f>SUM(Table14[[#This Row],[Connacht Open 21]:[Irish Close 19-20]])</f>
        <v>35</v>
      </c>
      <c r="K13">
        <f>IFERROR(SUM(LARGE(Table14[[#This Row],[Connacht Open 21]:[Irish Close 19-20]],{1,2,3})),0)</f>
        <v>35</v>
      </c>
      <c r="L13">
        <f>IFERROR(SUM(LARGE(Table14[[#This Row],[Connacht Open 21]:[Irish Close 19-20]],{1,2})/2*3),0)</f>
        <v>52.5</v>
      </c>
      <c r="M13">
        <f t="shared" si="0"/>
        <v>35</v>
      </c>
    </row>
    <row r="14" spans="1:13" x14ac:dyDescent="0.3">
      <c r="A14" s="4">
        <v>13</v>
      </c>
      <c r="B14" s="31" t="s">
        <v>23</v>
      </c>
      <c r="C14" t="s">
        <v>4</v>
      </c>
      <c r="D14" s="2">
        <v>3</v>
      </c>
      <c r="E14" s="23">
        <v>0</v>
      </c>
      <c r="F14" s="22">
        <v>35</v>
      </c>
      <c r="G14" s="22">
        <v>0</v>
      </c>
      <c r="H14" s="22">
        <v>0</v>
      </c>
      <c r="I14" s="13">
        <v>0</v>
      </c>
      <c r="J14" s="72">
        <f>SUM(Table14[[#This Row],[Connacht Open 21]:[Irish Close 19-20]])</f>
        <v>35</v>
      </c>
      <c r="K14">
        <f>IFERROR(SUM(LARGE(Table14[[#This Row],[Connacht Open 21]:[Irish Close 19-20]],{1,2,3})),0)</f>
        <v>35</v>
      </c>
      <c r="L14">
        <f>IFERROR(SUM(LARGE(Table14[[#This Row],[Connacht Open 21]:[Irish Close 19-20]],{1,2})/2*3),0)</f>
        <v>52.5</v>
      </c>
      <c r="M14">
        <f t="shared" si="0"/>
        <v>35</v>
      </c>
    </row>
    <row r="15" spans="1:13" x14ac:dyDescent="0.3">
      <c r="A15" s="4">
        <v>14</v>
      </c>
      <c r="B15" s="39" t="s">
        <v>28</v>
      </c>
      <c r="C15" t="s">
        <v>4</v>
      </c>
      <c r="D15" s="2">
        <v>3</v>
      </c>
      <c r="E15" s="23">
        <v>0</v>
      </c>
      <c r="F15" s="22">
        <v>0</v>
      </c>
      <c r="G15" s="22">
        <v>30</v>
      </c>
      <c r="H15" s="22">
        <v>0</v>
      </c>
      <c r="I15" s="13">
        <v>0</v>
      </c>
      <c r="J15" s="72">
        <f>SUM(Table14[[#This Row],[Connacht Open 21]:[Irish Close 19-20]])</f>
        <v>30</v>
      </c>
      <c r="K15">
        <f>IFERROR(SUM(LARGE(Table14[[#This Row],[Connacht Open 21]:[Irish Close 19-20]],{1,2,3})),0)</f>
        <v>30</v>
      </c>
      <c r="L15">
        <f>IFERROR(SUM(LARGE(Table14[[#This Row],[Connacht Open 21]:[Irish Close 19-20]],{1,2})/2*3),0)</f>
        <v>45</v>
      </c>
      <c r="M15">
        <f t="shared" si="0"/>
        <v>30</v>
      </c>
    </row>
    <row r="16" spans="1:13" x14ac:dyDescent="0.3">
      <c r="A16" s="4">
        <v>15</v>
      </c>
      <c r="B16" s="31" t="s">
        <v>172</v>
      </c>
      <c r="C16" t="s">
        <v>4</v>
      </c>
      <c r="D16" s="2">
        <v>3</v>
      </c>
      <c r="E16" s="23">
        <v>0</v>
      </c>
      <c r="F16" s="22">
        <v>0</v>
      </c>
      <c r="G16" s="22">
        <v>0</v>
      </c>
      <c r="H16" s="22">
        <v>0</v>
      </c>
      <c r="I16" s="13">
        <v>25</v>
      </c>
      <c r="J16" s="72">
        <f>SUM(Table14[[#This Row],[Connacht Open 21]:[Irish Close 19-20]])</f>
        <v>25</v>
      </c>
      <c r="K16">
        <f>IFERROR(SUM(LARGE(Table14[[#This Row],[Connacht Open 21]:[Irish Close 19-20]],{1,2,3})),0)</f>
        <v>25</v>
      </c>
      <c r="L16">
        <f>IFERROR(SUM(LARGE(Table14[[#This Row],[Connacht Open 21]:[Irish Close 19-20]],{1,2})/2*3),0)</f>
        <v>37.5</v>
      </c>
      <c r="M16">
        <f t="shared" si="0"/>
        <v>25</v>
      </c>
    </row>
    <row r="17" spans="1:13" x14ac:dyDescent="0.3">
      <c r="A17" s="4">
        <v>16</v>
      </c>
      <c r="B17" s="31" t="s">
        <v>209</v>
      </c>
      <c r="C17" t="s">
        <v>4</v>
      </c>
      <c r="D17" s="2">
        <v>3</v>
      </c>
      <c r="E17" s="23">
        <v>20</v>
      </c>
      <c r="F17" s="22">
        <v>0</v>
      </c>
      <c r="G17" s="22">
        <v>0</v>
      </c>
      <c r="H17" s="22">
        <v>0</v>
      </c>
      <c r="I17" s="21">
        <v>0</v>
      </c>
      <c r="J17" s="72">
        <f>SUM(Table14[[#This Row],[Connacht Open 21]:[Irish Close 19-20]])</f>
        <v>20</v>
      </c>
      <c r="K17">
        <f>IFERROR(SUM(LARGE(Table14[[#This Row],[Connacht Open 21]:[Irish Close 19-20]],{1,2,3})),0)</f>
        <v>20</v>
      </c>
      <c r="L17">
        <f>IFERROR(SUM(LARGE(Table14[[#This Row],[Connacht Open 21]:[Irish Close 19-20]],{1,2})/2*3),0)</f>
        <v>30</v>
      </c>
      <c r="M17">
        <f t="shared" si="0"/>
        <v>20</v>
      </c>
    </row>
    <row r="18" spans="1:13" x14ac:dyDescent="0.3">
      <c r="A18" s="4">
        <v>17</v>
      </c>
      <c r="B18" s="31" t="s">
        <v>151</v>
      </c>
      <c r="C18" t="s">
        <v>4</v>
      </c>
      <c r="D18" s="2">
        <v>3</v>
      </c>
      <c r="E18" s="23">
        <v>15</v>
      </c>
      <c r="F18" s="22">
        <v>0</v>
      </c>
      <c r="G18" s="22">
        <v>0</v>
      </c>
      <c r="H18" s="22">
        <v>0</v>
      </c>
      <c r="I18" s="21">
        <v>0</v>
      </c>
      <c r="J18" s="72">
        <f>SUM(Table14[[#This Row],[Connacht Open 21]:[Irish Close 19-20]])</f>
        <v>15</v>
      </c>
      <c r="K18">
        <f>IFERROR(SUM(LARGE(Table14[[#This Row],[Connacht Open 21]:[Irish Close 19-20]],{1,2,3})),0)</f>
        <v>15</v>
      </c>
      <c r="L18">
        <f>IFERROR(SUM(LARGE(Table14[[#This Row],[Connacht Open 21]:[Irish Close 19-20]],{1,2})/2*3),0)</f>
        <v>22.5</v>
      </c>
      <c r="M18">
        <f t="shared" si="0"/>
        <v>15</v>
      </c>
    </row>
    <row r="19" spans="1:13" x14ac:dyDescent="0.3">
      <c r="A19" s="4">
        <v>18</v>
      </c>
      <c r="B19" s="26" t="s">
        <v>211</v>
      </c>
      <c r="C19" t="s">
        <v>4</v>
      </c>
      <c r="D19" s="2">
        <v>3</v>
      </c>
      <c r="E19" s="22">
        <v>10</v>
      </c>
      <c r="F19" s="22">
        <v>0</v>
      </c>
      <c r="G19" s="22">
        <v>0</v>
      </c>
      <c r="H19" s="22">
        <v>0</v>
      </c>
      <c r="I19" s="21">
        <v>0</v>
      </c>
      <c r="J19" s="72">
        <f>SUM(Table14[[#This Row],[Connacht Open 21]:[Irish Close 19-20]])</f>
        <v>10</v>
      </c>
      <c r="K19">
        <f>IFERROR(SUM(LARGE(Table14[[#This Row],[Connacht Open 21]:[Irish Close 19-20]],{1,2,3})),0)</f>
        <v>10</v>
      </c>
      <c r="L19">
        <f>IFERROR(SUM(LARGE(Table14[[#This Row],[Connacht Open 21]:[Irish Close 19-20]],{1,2})/2*3),0)</f>
        <v>15</v>
      </c>
      <c r="M19">
        <f t="shared" si="0"/>
        <v>10</v>
      </c>
    </row>
    <row r="20" spans="1:13" x14ac:dyDescent="0.3">
      <c r="A20" s="4">
        <v>19</v>
      </c>
      <c r="B20" s="31" t="s">
        <v>212</v>
      </c>
      <c r="C20" t="s">
        <v>4</v>
      </c>
      <c r="D20" s="2">
        <v>3</v>
      </c>
      <c r="E20" s="22">
        <v>10</v>
      </c>
      <c r="F20" s="22">
        <v>0</v>
      </c>
      <c r="G20" s="22">
        <v>0</v>
      </c>
      <c r="H20" s="22">
        <v>0</v>
      </c>
      <c r="I20" s="13">
        <v>0</v>
      </c>
      <c r="J20" s="72">
        <f>SUM(Table14[[#This Row],[Connacht Open 21]:[Irish Close 19-20]])</f>
        <v>10</v>
      </c>
      <c r="K20">
        <f>IFERROR(SUM(LARGE(Table14[[#This Row],[Connacht Open 21]:[Irish Close 19-20]],{1,2,3})),0)</f>
        <v>10</v>
      </c>
      <c r="L20">
        <f>IFERROR(SUM(LARGE(Table14[[#This Row],[Connacht Open 21]:[Irish Close 19-20]],{1,2})/2*3),0)</f>
        <v>15</v>
      </c>
      <c r="M20">
        <f t="shared" si="0"/>
        <v>10</v>
      </c>
    </row>
    <row r="21" spans="1:13" x14ac:dyDescent="0.3">
      <c r="A21" s="4">
        <v>20</v>
      </c>
      <c r="B21" s="39"/>
      <c r="C21" t="s">
        <v>4</v>
      </c>
      <c r="D21" s="58">
        <v>3</v>
      </c>
      <c r="E21" s="23">
        <v>0</v>
      </c>
      <c r="F21" s="22">
        <v>0</v>
      </c>
      <c r="G21" s="22">
        <v>0</v>
      </c>
      <c r="H21" s="22">
        <v>0</v>
      </c>
      <c r="I21" s="13">
        <v>0</v>
      </c>
      <c r="J21" s="72">
        <f>SUM(Table14[[#This Row],[Connacht Open 21]:[Irish Close 19-20]])</f>
        <v>0</v>
      </c>
      <c r="K21">
        <f>IFERROR(SUM(LARGE(Table14[[#This Row],[Connacht Open 21]:[Irish Close 19-20]],{1,2,3})),0)</f>
        <v>0</v>
      </c>
      <c r="L21">
        <f>IFERROR(SUM(LARGE(Table14[[#This Row],[Connacht Open 21]:[Irish Close 19-20]],{1,2})/2*3),0)</f>
        <v>0</v>
      </c>
      <c r="M21">
        <f t="shared" si="0"/>
        <v>0</v>
      </c>
    </row>
    <row r="22" spans="1:13" x14ac:dyDescent="0.3">
      <c r="A22" s="4"/>
      <c r="B22" s="59" t="s">
        <v>213</v>
      </c>
      <c r="C22" s="48"/>
      <c r="D22" s="58"/>
      <c r="E22" s="49"/>
      <c r="F22" s="60"/>
      <c r="G22" s="60"/>
      <c r="H22" s="60"/>
      <c r="I22" s="61"/>
      <c r="J22" s="73">
        <f>SUM(Table14[[#This Row],[Connacht Open 21]:[Irish Close 19-20]])</f>
        <v>0</v>
      </c>
      <c r="K22" s="48">
        <f>IFERROR(SUM(LARGE(Table14[[#This Row],[Connacht Open 21]:[Irish Close 19-20]],{1,2,3})),0)</f>
        <v>0</v>
      </c>
      <c r="L22" s="48">
        <f>IFERROR(SUM(LARGE(Table14[[#This Row],[Connacht Open 21]:[Irish Close 19-20]],{1,2})/2*3),0)</f>
        <v>0</v>
      </c>
      <c r="M22" s="48">
        <f t="shared" si="0"/>
        <v>0</v>
      </c>
    </row>
    <row r="23" spans="1:13" x14ac:dyDescent="0.3">
      <c r="A23" s="20"/>
      <c r="B23" s="55" t="s">
        <v>118</v>
      </c>
      <c r="C23" s="11" t="s">
        <v>119</v>
      </c>
      <c r="D23" s="13"/>
      <c r="E23" s="52"/>
      <c r="F23" s="52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11" zoomScale="70" zoomScaleNormal="70" workbookViewId="0">
      <selection activeCell="B26" sqref="B26"/>
    </sheetView>
  </sheetViews>
  <sheetFormatPr defaultColWidth="9.140625" defaultRowHeight="15.75" x14ac:dyDescent="0.25"/>
  <cols>
    <col min="1" max="1" width="9.140625" style="32"/>
    <col min="2" max="2" width="28" style="38" customWidth="1"/>
    <col min="3" max="3" width="17.28515625" style="32" bestFit="1" customWidth="1"/>
    <col min="4" max="4" width="12.85546875" style="23" bestFit="1" customWidth="1"/>
    <col min="5" max="5" width="25" style="23" bestFit="1" customWidth="1"/>
    <col min="6" max="6" width="26" style="32" bestFit="1" customWidth="1"/>
    <col min="7" max="7" width="25" style="32" bestFit="1" customWidth="1"/>
    <col min="8" max="8" width="23.140625" style="32" bestFit="1" customWidth="1"/>
    <col min="9" max="9" width="4.85546875" style="32" hidden="1" customWidth="1"/>
    <col min="10" max="10" width="21.5703125" style="32" bestFit="1" customWidth="1"/>
    <col min="11" max="11" width="17.28515625" style="75" bestFit="1" customWidth="1"/>
    <col min="12" max="12" width="16.7109375" style="32" hidden="1" customWidth="1"/>
    <col min="13" max="13" width="20.5703125" style="32" hidden="1" customWidth="1"/>
    <col min="14" max="14" width="25.7109375" style="32" bestFit="1" customWidth="1"/>
    <col min="15" max="16384" width="9.140625" style="32"/>
  </cols>
  <sheetData>
    <row r="1" spans="1:14" s="29" customFormat="1" ht="30" customHeight="1" x14ac:dyDescent="0.25">
      <c r="A1" s="28" t="s">
        <v>18</v>
      </c>
      <c r="B1" s="26" t="s">
        <v>0</v>
      </c>
      <c r="C1" s="29" t="s">
        <v>2</v>
      </c>
      <c r="D1" s="29" t="s">
        <v>1</v>
      </c>
      <c r="E1" s="29" t="s">
        <v>206</v>
      </c>
      <c r="F1" s="29" t="s">
        <v>116</v>
      </c>
      <c r="G1" s="29" t="s">
        <v>149</v>
      </c>
      <c r="H1" s="1" t="s">
        <v>227</v>
      </c>
      <c r="I1" s="29" t="s">
        <v>117</v>
      </c>
      <c r="J1" s="29" t="s">
        <v>176</v>
      </c>
      <c r="K1" s="74" t="s">
        <v>7</v>
      </c>
      <c r="L1" s="29" t="s">
        <v>5</v>
      </c>
      <c r="M1" s="29" t="s">
        <v>6</v>
      </c>
      <c r="N1" s="29" t="s">
        <v>8</v>
      </c>
    </row>
    <row r="2" spans="1:14" x14ac:dyDescent="0.25">
      <c r="A2" s="30">
        <v>1</v>
      </c>
      <c r="B2" s="26" t="s">
        <v>60</v>
      </c>
      <c r="C2" s="32" t="s">
        <v>4</v>
      </c>
      <c r="D2" s="23">
        <v>3</v>
      </c>
      <c r="E2" s="23">
        <v>100</v>
      </c>
      <c r="F2" s="22">
        <v>140</v>
      </c>
      <c r="G2" s="22">
        <v>140</v>
      </c>
      <c r="H2" s="22">
        <v>140</v>
      </c>
      <c r="I2" s="22">
        <v>0</v>
      </c>
      <c r="J2" s="22">
        <v>125</v>
      </c>
      <c r="K2" s="75">
        <f>SUM(Table148111728[[#This Row],[Connacht Open 2021]:[Irish Close 19-20]])</f>
        <v>645</v>
      </c>
      <c r="L2" s="32">
        <f>IFERROR(SUM(LARGE(Table148111728[[#This Row],[Connacht Open 2021]:[Irish Close 19-20]],{1,2,3})),0)</f>
        <v>420</v>
      </c>
      <c r="M2" s="32">
        <f>IFERROR(SUM(LARGE(Table148111728[[#This Row],[Connacht Open 2021]:[Irish Close 19-20]],{1,2})/2*3),0)</f>
        <v>420</v>
      </c>
      <c r="N2" s="32">
        <f>IF(D2=3,L2,M2)</f>
        <v>420</v>
      </c>
    </row>
    <row r="3" spans="1:14" x14ac:dyDescent="0.25">
      <c r="A3" s="30">
        <v>2</v>
      </c>
      <c r="B3" s="31" t="s">
        <v>57</v>
      </c>
      <c r="C3" s="32" t="s">
        <v>4</v>
      </c>
      <c r="D3" s="23">
        <v>3</v>
      </c>
      <c r="E3" s="23">
        <v>140</v>
      </c>
      <c r="F3" s="22">
        <v>100</v>
      </c>
      <c r="G3" s="22">
        <v>100</v>
      </c>
      <c r="H3" s="22">
        <v>0</v>
      </c>
      <c r="I3" s="22">
        <v>0</v>
      </c>
      <c r="J3" s="22">
        <v>125</v>
      </c>
      <c r="K3" s="75">
        <f>SUM(Table148111728[[#This Row],[Connacht Open 2021]:[Irish Close 19-20]])</f>
        <v>465</v>
      </c>
      <c r="L3" s="32">
        <f>IFERROR(SUM(LARGE(Table148111728[[#This Row],[Connacht Open 2021]:[Irish Close 19-20]],{1,2,3})),0)</f>
        <v>365</v>
      </c>
      <c r="M3" s="32">
        <f>IFERROR(SUM(LARGE(Table148111728[[#This Row],[Connacht Open 2021]:[Irish Close 19-20]],{1,2})/2*3),0)</f>
        <v>397.5</v>
      </c>
      <c r="N3" s="32">
        <f>IF(D3=3,L3,M3)</f>
        <v>365</v>
      </c>
    </row>
    <row r="4" spans="1:14" x14ac:dyDescent="0.25">
      <c r="A4" s="30">
        <v>3</v>
      </c>
      <c r="B4" s="26" t="s">
        <v>71</v>
      </c>
      <c r="C4" s="32" t="s">
        <v>4</v>
      </c>
      <c r="D4" s="23">
        <v>3</v>
      </c>
      <c r="E4" s="23">
        <v>70</v>
      </c>
      <c r="F4" s="22">
        <v>35</v>
      </c>
      <c r="G4" s="22">
        <v>100</v>
      </c>
      <c r="H4" s="22">
        <v>0</v>
      </c>
      <c r="I4" s="22">
        <v>0</v>
      </c>
      <c r="J4" s="22">
        <v>175</v>
      </c>
      <c r="K4" s="75">
        <f>SUM(Table148111728[[#This Row],[Connacht Open 2021]:[Irish Close 19-20]])</f>
        <v>380</v>
      </c>
      <c r="L4" s="32">
        <f>IFERROR(SUM(LARGE(Table148111728[[#This Row],[Connacht Open 2021]:[Irish Close 19-20]],{1,2,3})),0)</f>
        <v>345</v>
      </c>
      <c r="M4" s="32">
        <f>IFERROR(SUM(LARGE(Table148111728[[#This Row],[Connacht Open 2021]:[Irish Close 19-20]],{1,2})/2*3),0)</f>
        <v>412.5</v>
      </c>
      <c r="N4" s="32">
        <f>IF(D4=3,L4,M4)</f>
        <v>345</v>
      </c>
    </row>
    <row r="5" spans="1:14" x14ac:dyDescent="0.25">
      <c r="A5" s="30">
        <v>4</v>
      </c>
      <c r="B5" s="26" t="s">
        <v>69</v>
      </c>
      <c r="C5" s="32" t="s">
        <v>4</v>
      </c>
      <c r="D5" s="23">
        <v>3</v>
      </c>
      <c r="E5" s="23">
        <v>30</v>
      </c>
      <c r="F5" s="22">
        <v>70</v>
      </c>
      <c r="G5" s="22">
        <v>35</v>
      </c>
      <c r="H5" s="22">
        <v>50</v>
      </c>
      <c r="I5" s="22">
        <v>0</v>
      </c>
      <c r="J5" s="22">
        <v>40</v>
      </c>
      <c r="K5" s="75">
        <f>SUM(Table148111728[[#This Row],[Connacht Open 2021]:[Irish Close 19-20]])</f>
        <v>225</v>
      </c>
      <c r="L5" s="32">
        <f>IFERROR(SUM(LARGE(Table148111728[[#This Row],[Connacht Open 2021]:[Irish Close 19-20]],{1,2,3})),0)</f>
        <v>160</v>
      </c>
      <c r="M5" s="32">
        <f>IFERROR(SUM(LARGE(Table148111728[[#This Row],[Connacht Open 2021]:[Irish Close 19-20]],{1,2})/2*3),0)</f>
        <v>180</v>
      </c>
      <c r="N5" s="32">
        <f>IF(D5=3,L5,M5)</f>
        <v>160</v>
      </c>
    </row>
    <row r="6" spans="1:14" x14ac:dyDescent="0.25">
      <c r="A6" s="30">
        <v>5</v>
      </c>
      <c r="B6" s="31" t="s">
        <v>171</v>
      </c>
      <c r="C6" s="32" t="s">
        <v>4</v>
      </c>
      <c r="D6" s="23">
        <v>3</v>
      </c>
      <c r="E6" s="23">
        <v>0</v>
      </c>
      <c r="F6" s="22">
        <v>35</v>
      </c>
      <c r="G6" s="22">
        <v>40</v>
      </c>
      <c r="H6" s="22">
        <v>70</v>
      </c>
      <c r="I6" s="22">
        <v>0</v>
      </c>
      <c r="J6" s="22">
        <v>65</v>
      </c>
      <c r="K6" s="75">
        <f>SUM(Table148111728[[#This Row],[Connacht Open 2021]:[Irish Close 19-20]])</f>
        <v>210</v>
      </c>
      <c r="L6" s="32">
        <f>IFERROR(SUM(LARGE(Table148111728[[#This Row],[Connacht Open 2021]:[Irish Close 19-20]],{1,2,3})),0)</f>
        <v>175</v>
      </c>
      <c r="M6" s="32">
        <f>IFERROR(SUM(LARGE(Table148111728[[#This Row],[Connacht Open 2021]:[Irish Close 19-20]],{1,2})/2*3),0)</f>
        <v>202.5</v>
      </c>
      <c r="N6" s="32">
        <f>IF('Mens 65s'!D17=3,L6,M6)</f>
        <v>175</v>
      </c>
    </row>
    <row r="7" spans="1:14" x14ac:dyDescent="0.25">
      <c r="A7" s="30">
        <v>6</v>
      </c>
      <c r="B7" s="26" t="s">
        <v>68</v>
      </c>
      <c r="C7" s="32" t="s">
        <v>4</v>
      </c>
      <c r="D7" s="23">
        <v>3</v>
      </c>
      <c r="E7" s="23">
        <v>50</v>
      </c>
      <c r="F7" s="22">
        <v>30</v>
      </c>
      <c r="G7" s="22">
        <v>25</v>
      </c>
      <c r="H7" s="22">
        <v>25</v>
      </c>
      <c r="I7" s="22">
        <v>0</v>
      </c>
      <c r="J7" s="22">
        <v>45</v>
      </c>
      <c r="K7" s="75">
        <f>SUM(Table148111728[[#This Row],[Connacht Open 2021]:[Irish Close 19-20]])</f>
        <v>175</v>
      </c>
      <c r="L7" s="32">
        <f>IFERROR(SUM(LARGE(Table148111728[[#This Row],[Connacht Open 2021]:[Irish Close 19-20]],{1,2,3})),0)</f>
        <v>125</v>
      </c>
      <c r="M7" s="32">
        <f>IFERROR(SUM(LARGE(Table148111728[[#This Row],[Connacht Open 2021]:[Irish Close 19-20]],{1,2})/2*3),0)</f>
        <v>142.5</v>
      </c>
      <c r="N7" s="32">
        <f t="shared" ref="N7:N22" si="0">IF(D7=3,L7,M7)</f>
        <v>125</v>
      </c>
    </row>
    <row r="8" spans="1:14" x14ac:dyDescent="0.25">
      <c r="A8" s="30">
        <v>7</v>
      </c>
      <c r="B8" s="26" t="s">
        <v>65</v>
      </c>
      <c r="C8" s="32" t="s">
        <v>4</v>
      </c>
      <c r="D8" s="23">
        <v>3</v>
      </c>
      <c r="E8" s="23">
        <v>0</v>
      </c>
      <c r="F8" s="22">
        <v>75</v>
      </c>
      <c r="G8" s="22">
        <v>30</v>
      </c>
      <c r="H8" s="22">
        <v>0</v>
      </c>
      <c r="I8" s="22">
        <v>0</v>
      </c>
      <c r="J8" s="22">
        <v>65</v>
      </c>
      <c r="K8" s="75">
        <f>SUM(Table148111728[[#This Row],[Connacht Open 2021]:[Irish Close 19-20]])</f>
        <v>170</v>
      </c>
      <c r="L8" s="32">
        <f>IFERROR(SUM(LARGE(Table148111728[[#This Row],[Connacht Open 2021]:[Irish Close 19-20]],{1,2,3})),0)</f>
        <v>170</v>
      </c>
      <c r="M8" s="32">
        <f>IFERROR(SUM(LARGE(Table148111728[[#This Row],[Connacht Open 2021]:[Irish Close 19-20]],{1,2})/2*3),0)</f>
        <v>210</v>
      </c>
      <c r="N8" s="32">
        <f t="shared" si="0"/>
        <v>170</v>
      </c>
    </row>
    <row r="9" spans="1:14" x14ac:dyDescent="0.25">
      <c r="A9" s="30">
        <v>8</v>
      </c>
      <c r="B9" s="31" t="s">
        <v>215</v>
      </c>
      <c r="C9" s="32" t="s">
        <v>4</v>
      </c>
      <c r="D9" s="23">
        <v>3</v>
      </c>
      <c r="E9" s="23">
        <v>40</v>
      </c>
      <c r="F9" s="22">
        <v>0</v>
      </c>
      <c r="G9" s="22">
        <v>0</v>
      </c>
      <c r="H9" s="22">
        <v>100</v>
      </c>
      <c r="I9" s="22">
        <v>0</v>
      </c>
      <c r="J9" s="22">
        <v>30</v>
      </c>
      <c r="K9" s="75">
        <f>SUM(Table148111728[[#This Row],[Connacht Open 2021]:[Irish Close 19-20]])</f>
        <v>170</v>
      </c>
      <c r="L9" s="32">
        <f>IFERROR(SUM(LARGE(Table148111728[[#This Row],[Connacht Open 2021]:[Irish Close 19-20]],{1,2,3})),0)</f>
        <v>170</v>
      </c>
      <c r="M9" s="32">
        <f>IFERROR(SUM(LARGE(Table148111728[[#This Row],[Connacht Open 2021]:[Irish Close 19-20]],{1,2})/2*3),0)</f>
        <v>210</v>
      </c>
      <c r="N9" s="32">
        <f t="shared" si="0"/>
        <v>170</v>
      </c>
    </row>
    <row r="10" spans="1:14" x14ac:dyDescent="0.25">
      <c r="A10" s="30">
        <v>9</v>
      </c>
      <c r="B10" s="26" t="s">
        <v>160</v>
      </c>
      <c r="C10" s="32" t="s">
        <v>4</v>
      </c>
      <c r="D10" s="23">
        <v>3</v>
      </c>
      <c r="E10" s="23">
        <v>0</v>
      </c>
      <c r="F10" s="22">
        <v>15</v>
      </c>
      <c r="G10" s="22">
        <v>40</v>
      </c>
      <c r="H10" s="22">
        <v>0</v>
      </c>
      <c r="I10" s="22">
        <v>0</v>
      </c>
      <c r="J10" s="22">
        <v>90</v>
      </c>
      <c r="K10" s="75">
        <f>SUM(Table148111728[[#This Row],[Connacht Open 2021]:[Irish Close 19-20]])</f>
        <v>145</v>
      </c>
      <c r="L10" s="32">
        <f>IFERROR(SUM(LARGE(Table148111728[[#This Row],[Connacht Open 2021]:[Irish Close 19-20]],{1,2,3})),0)</f>
        <v>145</v>
      </c>
      <c r="M10" s="32">
        <f>IFERROR(SUM(LARGE(Table148111728[[#This Row],[Connacht Open 2021]:[Irish Close 19-20]],{1,2})/2*3),0)</f>
        <v>195</v>
      </c>
      <c r="N10" s="32">
        <f t="shared" si="0"/>
        <v>145</v>
      </c>
    </row>
    <row r="11" spans="1:14" x14ac:dyDescent="0.25">
      <c r="A11" s="30">
        <v>10</v>
      </c>
      <c r="B11" s="31" t="s">
        <v>59</v>
      </c>
      <c r="C11" s="32" t="s">
        <v>4</v>
      </c>
      <c r="D11" s="23">
        <v>3</v>
      </c>
      <c r="E11" s="23">
        <v>35</v>
      </c>
      <c r="F11" s="22">
        <v>30</v>
      </c>
      <c r="G11" s="22">
        <v>30</v>
      </c>
      <c r="H11" s="22">
        <v>0</v>
      </c>
      <c r="I11" s="22">
        <v>0</v>
      </c>
      <c r="J11" s="22">
        <v>40</v>
      </c>
      <c r="K11" s="75">
        <f>SUM(Table148111728[[#This Row],[Connacht Open 2021]:[Irish Close 19-20]])</f>
        <v>135</v>
      </c>
      <c r="L11" s="32">
        <f>IFERROR(SUM(LARGE(Table148111728[[#This Row],[Connacht Open 2021]:[Irish Close 19-20]],{1,2,3})),0)</f>
        <v>105</v>
      </c>
      <c r="M11" s="32">
        <f>IFERROR(SUM(LARGE(Table148111728[[#This Row],[Connacht Open 2021]:[Irish Close 19-20]],{1,2})/2*3),0)</f>
        <v>112.5</v>
      </c>
      <c r="N11" s="32">
        <f t="shared" si="0"/>
        <v>105</v>
      </c>
    </row>
    <row r="12" spans="1:14" x14ac:dyDescent="0.25">
      <c r="A12" s="30">
        <v>11</v>
      </c>
      <c r="B12" s="26" t="s">
        <v>178</v>
      </c>
      <c r="C12" s="32" t="s">
        <v>4</v>
      </c>
      <c r="D12" s="23">
        <v>3</v>
      </c>
      <c r="E12" s="23">
        <v>25</v>
      </c>
      <c r="F12" s="22">
        <v>10</v>
      </c>
      <c r="G12" s="22">
        <v>10</v>
      </c>
      <c r="H12" s="22">
        <v>35</v>
      </c>
      <c r="I12" s="22">
        <v>0</v>
      </c>
      <c r="J12" s="22">
        <v>35</v>
      </c>
      <c r="K12" s="75">
        <f>SUM(Table148111728[[#This Row],[Connacht Open 2021]:[Irish Close 19-20]])</f>
        <v>115</v>
      </c>
      <c r="L12" s="32">
        <f>IFERROR(SUM(LARGE(Table148111728[[#This Row],[Connacht Open 2021]:[Irish Close 19-20]],{1,2,3})),0)</f>
        <v>95</v>
      </c>
      <c r="M12" s="32">
        <f>IFERROR(SUM(LARGE(Table148111728[[#This Row],[Connacht Open 2021]:[Irish Close 19-20]],{1,2})/2*3),0)</f>
        <v>105</v>
      </c>
      <c r="N12" s="32">
        <f t="shared" si="0"/>
        <v>95</v>
      </c>
    </row>
    <row r="13" spans="1:14" x14ac:dyDescent="0.25">
      <c r="A13" s="30">
        <v>12</v>
      </c>
      <c r="B13" s="26" t="s">
        <v>62</v>
      </c>
      <c r="C13" s="32" t="s">
        <v>4</v>
      </c>
      <c r="D13" s="23">
        <v>3</v>
      </c>
      <c r="E13" s="23">
        <v>0</v>
      </c>
      <c r="F13" s="22">
        <v>10</v>
      </c>
      <c r="G13" s="22">
        <v>25</v>
      </c>
      <c r="H13" s="22">
        <v>40</v>
      </c>
      <c r="I13" s="22">
        <v>0</v>
      </c>
      <c r="J13" s="22">
        <v>0</v>
      </c>
      <c r="K13" s="75">
        <f>SUM(Table148111728[[#This Row],[Connacht Open 2021]:[Irish Close 19-20]])</f>
        <v>75</v>
      </c>
      <c r="L13" s="32">
        <f>IFERROR(SUM(LARGE(Table148111728[[#This Row],[Connacht Open 2021]:[Irish Close 19-20]],{1,2,3})),0)</f>
        <v>75</v>
      </c>
      <c r="M13" s="32">
        <f>IFERROR(SUM(LARGE(Table148111728[[#This Row],[Connacht Open 2021]:[Irish Close 19-20]],{1,2})/2*3),0)</f>
        <v>97.5</v>
      </c>
      <c r="N13" s="32">
        <f t="shared" si="0"/>
        <v>75</v>
      </c>
    </row>
    <row r="14" spans="1:14" x14ac:dyDescent="0.25">
      <c r="A14" s="30">
        <v>13</v>
      </c>
      <c r="B14" s="26" t="s">
        <v>167</v>
      </c>
      <c r="C14" s="32" t="s">
        <v>4</v>
      </c>
      <c r="D14" s="23">
        <v>3</v>
      </c>
      <c r="E14" s="23">
        <v>0</v>
      </c>
      <c r="F14" s="22">
        <v>0</v>
      </c>
      <c r="G14" s="22">
        <v>20</v>
      </c>
      <c r="H14" s="22">
        <v>0</v>
      </c>
      <c r="I14" s="22">
        <v>0</v>
      </c>
      <c r="J14" s="22">
        <v>50</v>
      </c>
      <c r="K14" s="75">
        <f>SUM(Table148111728[[#This Row],[Connacht Open 2021]:[Irish Close 19-20]])</f>
        <v>70</v>
      </c>
      <c r="L14" s="32">
        <f>IFERROR(SUM(LARGE(Table148111728[[#This Row],[Connacht Open 2021]:[Irish Close 19-20]],{1,2,3})),0)</f>
        <v>70</v>
      </c>
      <c r="M14" s="32">
        <f>IFERROR(SUM(LARGE(Table148111728[[#This Row],[Connacht Open 2021]:[Irish Close 19-20]],{1,2})/2*3),0)</f>
        <v>105</v>
      </c>
      <c r="N14" s="32">
        <f t="shared" si="0"/>
        <v>70</v>
      </c>
    </row>
    <row r="15" spans="1:14" x14ac:dyDescent="0.25">
      <c r="A15" s="30">
        <v>14</v>
      </c>
      <c r="B15" s="26" t="s">
        <v>166</v>
      </c>
      <c r="C15" s="32" t="s">
        <v>4</v>
      </c>
      <c r="D15" s="23">
        <v>3</v>
      </c>
      <c r="E15" s="23">
        <v>0</v>
      </c>
      <c r="F15" s="22">
        <v>10</v>
      </c>
      <c r="G15" s="22">
        <v>20</v>
      </c>
      <c r="H15" s="22">
        <v>0</v>
      </c>
      <c r="I15" s="22">
        <v>0</v>
      </c>
      <c r="J15" s="22">
        <v>20</v>
      </c>
      <c r="K15" s="75">
        <f>SUM(Table148111728[[#This Row],[Connacht Open 2021]:[Irish Close 19-20]])</f>
        <v>50</v>
      </c>
      <c r="L15" s="32">
        <f>IFERROR(SUM(LARGE(Table148111728[[#This Row],[Connacht Open 2021]:[Irish Close 19-20]],{1,2,3})),0)</f>
        <v>50</v>
      </c>
      <c r="M15" s="32">
        <f>IFERROR(SUM(LARGE(Table148111728[[#This Row],[Connacht Open 2021]:[Irish Close 19-20]],{1,2})/2*3),0)</f>
        <v>60</v>
      </c>
      <c r="N15" s="32">
        <f t="shared" si="0"/>
        <v>50</v>
      </c>
    </row>
    <row r="16" spans="1:14" x14ac:dyDescent="0.25">
      <c r="A16" s="30">
        <v>15</v>
      </c>
      <c r="B16" s="26" t="s">
        <v>224</v>
      </c>
      <c r="C16" s="32" t="s">
        <v>4</v>
      </c>
      <c r="D16" s="23">
        <v>3</v>
      </c>
      <c r="E16" s="23">
        <v>0</v>
      </c>
      <c r="F16" s="22">
        <v>0</v>
      </c>
      <c r="G16" s="22">
        <v>0</v>
      </c>
      <c r="H16" s="22">
        <v>0</v>
      </c>
      <c r="I16" s="22"/>
      <c r="J16" s="22">
        <v>30</v>
      </c>
      <c r="K16" s="75">
        <f>SUM(Table148111728[[#This Row],[Connacht Open 2021]:[Irish Close 19-20]])</f>
        <v>30</v>
      </c>
      <c r="L16" s="32">
        <f>IFERROR(SUM(LARGE(Table148111728[[#This Row],[Connacht Open 2021]:[Irish Close 19-20]],{1,2,3})),0)</f>
        <v>30</v>
      </c>
      <c r="M16" s="32">
        <f>IFERROR(SUM(LARGE(Table148111728[[#This Row],[Connacht Open 2021]:[Irish Close 19-20]],{1,2})/2*3),0)</f>
        <v>45</v>
      </c>
      <c r="N16" s="32">
        <f t="shared" si="0"/>
        <v>30</v>
      </c>
    </row>
    <row r="17" spans="1:14" x14ac:dyDescent="0.25">
      <c r="A17" s="30">
        <v>16</v>
      </c>
      <c r="B17" s="38" t="s">
        <v>114</v>
      </c>
      <c r="C17" s="32" t="s">
        <v>4</v>
      </c>
      <c r="D17" s="23">
        <v>3</v>
      </c>
      <c r="E17" s="23">
        <v>0</v>
      </c>
      <c r="F17" s="22">
        <v>10</v>
      </c>
      <c r="G17" s="22">
        <v>0</v>
      </c>
      <c r="H17" s="22">
        <v>0</v>
      </c>
      <c r="I17" s="22">
        <v>0</v>
      </c>
      <c r="J17" s="22">
        <v>20</v>
      </c>
      <c r="K17" s="75">
        <f>SUM(Table148111728[[#This Row],[Connacht Open 2021]:[Irish Close 19-20]])</f>
        <v>30</v>
      </c>
      <c r="L17" s="32">
        <f>IFERROR(SUM(LARGE(Table148111728[[#This Row],[Connacht Open 2021]:[Irish Close 19-20]],{1,2,3})),0)</f>
        <v>30</v>
      </c>
      <c r="M17" s="32">
        <f>IFERROR(SUM(LARGE(Table148111728[[#This Row],[Connacht Open 2021]:[Irish Close 19-20]],{1,2})/2*3),0)</f>
        <v>45</v>
      </c>
      <c r="N17" s="32">
        <f t="shared" si="0"/>
        <v>30</v>
      </c>
    </row>
    <row r="18" spans="1:14" x14ac:dyDescent="0.25">
      <c r="A18" s="30">
        <v>17</v>
      </c>
      <c r="B18" s="32" t="s">
        <v>226</v>
      </c>
      <c r="C18" s="32" t="s">
        <v>4</v>
      </c>
      <c r="D18" s="32">
        <v>3</v>
      </c>
      <c r="E18" s="23">
        <v>0</v>
      </c>
      <c r="F18" s="32">
        <v>0</v>
      </c>
      <c r="G18" s="32">
        <v>0</v>
      </c>
      <c r="H18" s="32">
        <v>30</v>
      </c>
      <c r="J18" s="32">
        <v>0</v>
      </c>
      <c r="K18" s="75">
        <f>SUM(Table148111728[[#This Row],[Connacht Open 2021]:[Irish Close 19-20]])</f>
        <v>30</v>
      </c>
      <c r="L18" s="32">
        <f>IFERROR(SUM(LARGE(Table148111728[[#This Row],[Connacht Open 2021]:[Irish Close 19-20]],{1,2,3})),0)</f>
        <v>30</v>
      </c>
      <c r="M18" s="32">
        <f>IFERROR(SUM(LARGE(Table148111728[[#This Row],[Connacht Open 2021]:[Irish Close 19-20]],{1,2})/2*3),0)</f>
        <v>45</v>
      </c>
      <c r="N18" s="32">
        <f t="shared" si="0"/>
        <v>30</v>
      </c>
    </row>
    <row r="19" spans="1:14" x14ac:dyDescent="0.25">
      <c r="A19" s="30">
        <v>18</v>
      </c>
      <c r="B19" s="26" t="s">
        <v>67</v>
      </c>
      <c r="C19" s="32" t="s">
        <v>4</v>
      </c>
      <c r="D19" s="23">
        <v>3</v>
      </c>
      <c r="E19" s="23">
        <v>0</v>
      </c>
      <c r="F19" s="22">
        <v>25</v>
      </c>
      <c r="G19" s="22">
        <v>0</v>
      </c>
      <c r="H19" s="22">
        <v>0</v>
      </c>
      <c r="I19" s="22">
        <v>0</v>
      </c>
      <c r="J19" s="22">
        <v>0</v>
      </c>
      <c r="K19" s="75">
        <f>SUM(Table148111728[[#This Row],[Connacht Open 2021]:[Irish Close 19-20]])</f>
        <v>25</v>
      </c>
      <c r="L19" s="32">
        <f>IFERROR(SUM(LARGE(Table148111728[[#This Row],[Connacht Open 2021]:[Irish Close 19-20]],{1,2,3})),0)</f>
        <v>25</v>
      </c>
      <c r="M19" s="32">
        <f>IFERROR(SUM(LARGE(Table148111728[[#This Row],[Connacht Open 2021]:[Irish Close 19-20]],{1,2})/2*3),0)</f>
        <v>37.5</v>
      </c>
      <c r="N19" s="32">
        <f t="shared" si="0"/>
        <v>25</v>
      </c>
    </row>
    <row r="20" spans="1:14" x14ac:dyDescent="0.25">
      <c r="A20" s="30">
        <v>19</v>
      </c>
      <c r="B20" s="26" t="s">
        <v>225</v>
      </c>
      <c r="C20" s="32" t="s">
        <v>4</v>
      </c>
      <c r="D20" s="23">
        <v>3</v>
      </c>
      <c r="E20" s="22">
        <v>0</v>
      </c>
      <c r="F20" s="22">
        <v>0</v>
      </c>
      <c r="G20" s="22">
        <v>0</v>
      </c>
      <c r="H20" s="22">
        <v>20</v>
      </c>
      <c r="I20" s="22">
        <v>0</v>
      </c>
      <c r="J20" s="22">
        <v>0</v>
      </c>
      <c r="K20" s="75">
        <f>SUM(Table148111728[[#This Row],[Connacht Open 2021]:[Irish Close 19-20]])</f>
        <v>20</v>
      </c>
      <c r="L20" s="32">
        <f>IFERROR(SUM(LARGE(Table148111728[[#This Row],[Connacht Open 2021]:[Irish Close 19-20]],{1,2,3})),0)</f>
        <v>20</v>
      </c>
      <c r="M20" s="32">
        <f>IFERROR(SUM(LARGE(Table148111728[[#This Row],[Connacht Open 2021]:[Irish Close 19-20]],{1,2})/2*3),0)</f>
        <v>30</v>
      </c>
      <c r="N20" s="32">
        <f t="shared" si="0"/>
        <v>20</v>
      </c>
    </row>
    <row r="21" spans="1:14" x14ac:dyDescent="0.25">
      <c r="A21" s="30">
        <v>20</v>
      </c>
      <c r="B21" s="26" t="s">
        <v>70</v>
      </c>
      <c r="C21" s="32" t="s">
        <v>4</v>
      </c>
      <c r="D21" s="23">
        <v>3</v>
      </c>
      <c r="E21" s="23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75">
        <f>SUM(Table148111728[[#This Row],[Connacht Open 2021]:[Irish Close 19-20]])</f>
        <v>0</v>
      </c>
      <c r="L21" s="32">
        <f>IFERROR(SUM(LARGE(Table148111728[[#This Row],[Connacht Open 2021]:[Irish Close 19-20]],{1,2,3})),0)</f>
        <v>0</v>
      </c>
      <c r="M21" s="32">
        <f>IFERROR(SUM(LARGE(Table148111728[[#This Row],[Connacht Open 2021]:[Irish Close 19-20]],{1,2})/2*3),0)</f>
        <v>0</v>
      </c>
      <c r="N21" s="32">
        <f t="shared" si="0"/>
        <v>0</v>
      </c>
    </row>
    <row r="22" spans="1:14" x14ac:dyDescent="0.25">
      <c r="A22" s="30"/>
      <c r="C22" s="32" t="s">
        <v>4</v>
      </c>
      <c r="D22" s="23">
        <v>3</v>
      </c>
      <c r="E22" s="23">
        <v>0</v>
      </c>
      <c r="F22" s="22">
        <v>0</v>
      </c>
      <c r="G22" s="22">
        <v>0</v>
      </c>
      <c r="H22" s="22"/>
      <c r="I22" s="22">
        <v>0</v>
      </c>
      <c r="J22" s="22">
        <v>0</v>
      </c>
      <c r="K22" s="75">
        <f>SUM(Table148111728[[#This Row],[Connacht Open 2021]:[Irish Close 19-20]])</f>
        <v>0</v>
      </c>
      <c r="L22" s="32">
        <f>IFERROR(SUM(LARGE(Table148111728[[#This Row],[Connacht Open 2021]:[Irish Close 19-20]],{1,2,3})),0)</f>
        <v>0</v>
      </c>
      <c r="M22" s="32">
        <f>IFERROR(SUM(LARGE(Table148111728[[#This Row],[Connacht Open 2021]:[Irish Close 19-20]],{1,2})/2*3),0)</f>
        <v>0</v>
      </c>
      <c r="N22" s="32">
        <f t="shared" si="0"/>
        <v>0</v>
      </c>
    </row>
    <row r="23" spans="1:14" x14ac:dyDescent="0.25">
      <c r="A23" s="30"/>
      <c r="B23" s="32"/>
      <c r="D23" s="32"/>
      <c r="L23" s="32">
        <f>IFERROR(SUM(LARGE(Table148111728[[#This Row],[Connacht Open 2021]:[Irish Close 19-20]],{1,2,3})),0)</f>
        <v>0</v>
      </c>
      <c r="M23" s="32">
        <f>IFERROR(SUM(LARGE(Table148111728[[#This Row],[Connacht Open 2021]:[Irish Close 19-20]],{1,2})/2*3),0)</f>
        <v>0</v>
      </c>
    </row>
    <row r="24" spans="1:14" x14ac:dyDescent="0.25">
      <c r="A24" s="30"/>
      <c r="B24" s="32"/>
      <c r="D24" s="32"/>
      <c r="L24" s="32">
        <f>IFERROR(SUM(LARGE(Table148111728[[#This Row],[Connacht Open 2021]:[Irish Close 19-20]],{1,2,3})),0)</f>
        <v>0</v>
      </c>
      <c r="M24" s="32">
        <f>IFERROR(SUM(LARGE(Table148111728[[#This Row],[Connacht Open 2021]:[Irish Close 19-20]],{1,2})/2*3),0)</f>
        <v>0</v>
      </c>
    </row>
    <row r="25" spans="1:14" x14ac:dyDescent="0.25">
      <c r="B25" s="89" t="s">
        <v>228</v>
      </c>
      <c r="C25" s="83"/>
      <c r="D25" s="49"/>
      <c r="E25" s="49"/>
      <c r="F25" s="83"/>
      <c r="G25" s="83"/>
      <c r="H25" s="83"/>
      <c r="I25" s="83"/>
      <c r="J25" s="83"/>
      <c r="K25" s="84">
        <f>SUM(Table148111728[[#This Row],[Connacht Open 2021]:[Irish Close 19-20]])</f>
        <v>0</v>
      </c>
      <c r="L25" s="83">
        <f>IFERROR(SUM(LARGE(Table148111728[[#This Row],[Connacht Open 2021]:[Irish Close 19-20]],{1,2,3})),0)</f>
        <v>0</v>
      </c>
      <c r="M25" s="83">
        <f>IFERROR(SUM(LARGE(Table148111728[[#This Row],[Connacht Open 2021]:[Irish Close 19-20]],{1,2})/2*3),0)</f>
        <v>0</v>
      </c>
      <c r="N25" s="85">
        <f>IF(D25=3,L25,M25)</f>
        <v>0</v>
      </c>
    </row>
    <row r="27" spans="1:14" x14ac:dyDescent="0.25">
      <c r="B27" s="43" t="s">
        <v>118</v>
      </c>
      <c r="C27" s="34" t="s">
        <v>119</v>
      </c>
      <c r="D27" s="35"/>
      <c r="E27" s="35"/>
      <c r="F27" s="34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70" zoomScaleNormal="70" workbookViewId="0">
      <selection activeCell="H1" sqref="H1"/>
    </sheetView>
  </sheetViews>
  <sheetFormatPr defaultColWidth="8.7109375" defaultRowHeight="18.75" x14ac:dyDescent="0.3"/>
  <cols>
    <col min="1" max="1" width="8.7109375" style="36"/>
    <col min="2" max="2" width="23" style="70" customWidth="1"/>
    <col min="3" max="3" width="17.28515625" style="36" bestFit="1" customWidth="1"/>
    <col min="4" max="4" width="12.85546875" style="37" bestFit="1" customWidth="1"/>
    <col min="5" max="5" width="19.140625" style="37" bestFit="1" customWidth="1"/>
    <col min="6" max="6" width="20.28515625" style="36" bestFit="1" customWidth="1"/>
    <col min="7" max="7" width="19.140625" style="36" bestFit="1" customWidth="1"/>
    <col min="8" max="8" width="17.42578125" style="36" bestFit="1" customWidth="1"/>
    <col min="9" max="9" width="15.85546875" style="36" bestFit="1" customWidth="1"/>
    <col min="10" max="10" width="17.28515625" style="77" bestFit="1" customWidth="1"/>
    <col min="11" max="11" width="16.7109375" style="36" hidden="1" customWidth="1"/>
    <col min="12" max="12" width="20.5703125" style="36" hidden="1" customWidth="1"/>
    <col min="13" max="13" width="25.7109375" style="36" bestFit="1" customWidth="1"/>
    <col min="14" max="14" width="13.7109375" style="36" bestFit="1" customWidth="1"/>
    <col min="15" max="16384" width="8.7109375" style="36"/>
  </cols>
  <sheetData>
    <row r="1" spans="1:13" s="66" customFormat="1" ht="30" x14ac:dyDescent="0.25">
      <c r="A1" s="28" t="s">
        <v>18</v>
      </c>
      <c r="B1" s="67" t="s">
        <v>0</v>
      </c>
      <c r="C1" s="66" t="s">
        <v>2</v>
      </c>
      <c r="D1" s="66" t="s">
        <v>1</v>
      </c>
      <c r="E1" s="66" t="s">
        <v>206</v>
      </c>
      <c r="F1" s="66" t="s">
        <v>116</v>
      </c>
      <c r="G1" s="66" t="s">
        <v>149</v>
      </c>
      <c r="H1" s="1" t="s">
        <v>227</v>
      </c>
      <c r="I1" s="66" t="s">
        <v>176</v>
      </c>
      <c r="J1" s="76" t="s">
        <v>7</v>
      </c>
      <c r="K1" s="66" t="s">
        <v>5</v>
      </c>
      <c r="L1" s="66" t="s">
        <v>6</v>
      </c>
      <c r="M1" s="66" t="s">
        <v>8</v>
      </c>
    </row>
    <row r="2" spans="1:13" x14ac:dyDescent="0.3">
      <c r="A2" s="30">
        <v>1</v>
      </c>
      <c r="B2" s="81" t="s">
        <v>50</v>
      </c>
      <c r="C2" s="36" t="s">
        <v>4</v>
      </c>
      <c r="D2" s="37">
        <v>3</v>
      </c>
      <c r="E2" s="37">
        <v>100</v>
      </c>
      <c r="F2" s="66">
        <v>100</v>
      </c>
      <c r="G2" s="66">
        <v>140</v>
      </c>
      <c r="H2" s="66">
        <v>0</v>
      </c>
      <c r="I2" s="66">
        <v>125</v>
      </c>
      <c r="J2" s="77">
        <f>SUM(Table148111730[[#This Row],[Connacht Open 2021]:[Irish Close 19-20]])</f>
        <v>465</v>
      </c>
      <c r="K2" s="36">
        <f>IFERROR(SUM(LARGE(Table148111730[[#This Row],[Connacht Open 2021]:[Irish Close 19-20]],{1,2,3})),0)</f>
        <v>365</v>
      </c>
      <c r="L2" s="36">
        <f>IFERROR(SUM(LARGE(Table148111730[[#This Row],[Connacht Open 2021]:[Irish Close 19-20]],{1,2})/2*3),0)</f>
        <v>397.5</v>
      </c>
      <c r="M2" s="36">
        <f t="shared" ref="M2:M8" si="0">IF(D2=3,K2,L2)</f>
        <v>365</v>
      </c>
    </row>
    <row r="3" spans="1:13" x14ac:dyDescent="0.3">
      <c r="A3" s="30">
        <v>2</v>
      </c>
      <c r="B3" s="67" t="s">
        <v>45</v>
      </c>
      <c r="C3" s="36" t="s">
        <v>4</v>
      </c>
      <c r="D3" s="37">
        <v>3</v>
      </c>
      <c r="E3" s="37">
        <v>140</v>
      </c>
      <c r="F3" s="66">
        <v>0</v>
      </c>
      <c r="G3" s="66">
        <v>0</v>
      </c>
      <c r="H3" s="66">
        <v>140</v>
      </c>
      <c r="I3" s="66">
        <v>125</v>
      </c>
      <c r="J3" s="77">
        <f>SUM(Table148111730[[#This Row],[Connacht Open 2021]:[Irish Close 19-20]])</f>
        <v>405</v>
      </c>
      <c r="K3" s="36">
        <f>IFERROR(SUM(LARGE(Table148111730[[#This Row],[Connacht Open 2021]:[Irish Close 19-20]],{1,2,3})),0)</f>
        <v>405</v>
      </c>
      <c r="L3" s="36">
        <f>IFERROR(SUM(LARGE(Table148111730[[#This Row],[Connacht Open 2021]:[Irish Close 19-20]],{1,2})/2*3),0)</f>
        <v>420</v>
      </c>
      <c r="M3" s="36">
        <f t="shared" si="0"/>
        <v>405</v>
      </c>
    </row>
    <row r="4" spans="1:13" x14ac:dyDescent="0.3">
      <c r="A4" s="30">
        <v>3</v>
      </c>
      <c r="B4" s="67" t="s">
        <v>123</v>
      </c>
      <c r="C4" s="36" t="s">
        <v>4</v>
      </c>
      <c r="D4" s="37">
        <v>3</v>
      </c>
      <c r="F4" s="66">
        <v>0</v>
      </c>
      <c r="G4" s="66">
        <v>0</v>
      </c>
      <c r="H4" s="66">
        <v>0</v>
      </c>
      <c r="I4" s="66">
        <v>175</v>
      </c>
      <c r="J4" s="77">
        <f>SUM(Table148111730[[#This Row],[Connacht Open 2021]:[Irish Close 19-20]])</f>
        <v>175</v>
      </c>
      <c r="K4" s="36">
        <f>IFERROR(SUM(LARGE(Table148111730[[#This Row],[Connacht Open 2021]:[Irish Close 19-20]],{1,2,3})),0)</f>
        <v>175</v>
      </c>
      <c r="L4" s="36">
        <f>IFERROR(SUM(LARGE(Table148111730[[#This Row],[Connacht Open 2021]:[Irish Close 19-20]],{1,2})/2*3),0)</f>
        <v>262.5</v>
      </c>
      <c r="M4" s="36">
        <f t="shared" si="0"/>
        <v>175</v>
      </c>
    </row>
    <row r="5" spans="1:13" x14ac:dyDescent="0.3">
      <c r="A5" s="30">
        <v>4</v>
      </c>
      <c r="B5" s="81" t="s">
        <v>124</v>
      </c>
      <c r="C5" s="36" t="s">
        <v>4</v>
      </c>
      <c r="D5" s="37">
        <v>3</v>
      </c>
      <c r="E5" s="37">
        <v>70</v>
      </c>
      <c r="F5" s="66">
        <v>0</v>
      </c>
      <c r="G5" s="66">
        <v>100</v>
      </c>
      <c r="H5" s="66">
        <v>0</v>
      </c>
      <c r="I5" s="66">
        <v>0</v>
      </c>
      <c r="J5" s="77">
        <f>SUM(Table148111730[[#This Row],[Connacht Open 2021]:[Irish Close 19-20]])</f>
        <v>170</v>
      </c>
      <c r="K5" s="36">
        <f>IFERROR(SUM(LARGE(Table148111730[[#This Row],[Connacht Open 2021]:[Irish Close 19-20]],{1,2,3})),0)</f>
        <v>170</v>
      </c>
      <c r="L5" s="36">
        <f>IFERROR(SUM(LARGE(Table148111730[[#This Row],[Connacht Open 2021]:[Irish Close 19-20]],{1,2})/2*3),0)</f>
        <v>255</v>
      </c>
      <c r="M5" s="36">
        <f t="shared" si="0"/>
        <v>170</v>
      </c>
    </row>
    <row r="6" spans="1:13" x14ac:dyDescent="0.3">
      <c r="A6" s="30">
        <v>5</v>
      </c>
      <c r="B6" s="67" t="s">
        <v>48</v>
      </c>
      <c r="C6" s="36" t="s">
        <v>4</v>
      </c>
      <c r="D6" s="37">
        <v>3</v>
      </c>
      <c r="F6" s="66">
        <v>0</v>
      </c>
      <c r="G6" s="66">
        <v>0</v>
      </c>
      <c r="H6" s="66">
        <v>0</v>
      </c>
      <c r="I6" s="66">
        <v>90</v>
      </c>
      <c r="J6" s="77">
        <f>SUM(Table148111730[[#This Row],[Connacht Open 2021]:[Irish Close 19-20]])</f>
        <v>90</v>
      </c>
      <c r="K6" s="36">
        <f>IFERROR(SUM(LARGE(Table148111730[[#This Row],[Connacht Open 2021]:[Irish Close 19-20]],{1,2,3})),0)</f>
        <v>90</v>
      </c>
      <c r="L6" s="36">
        <f>IFERROR(SUM(LARGE(Table148111730[[#This Row],[Connacht Open 2021]:[Irish Close 19-20]],{1,2})/2*3),0)</f>
        <v>135</v>
      </c>
      <c r="M6" s="36">
        <f t="shared" si="0"/>
        <v>90</v>
      </c>
    </row>
    <row r="7" spans="1:13" x14ac:dyDescent="0.3">
      <c r="A7" s="30">
        <v>6</v>
      </c>
      <c r="B7" s="67" t="s">
        <v>72</v>
      </c>
      <c r="C7" s="36" t="s">
        <v>4</v>
      </c>
      <c r="D7" s="37">
        <v>3</v>
      </c>
      <c r="F7" s="66">
        <v>0</v>
      </c>
      <c r="G7" s="66">
        <v>0</v>
      </c>
      <c r="H7" s="66">
        <v>0</v>
      </c>
      <c r="I7" s="66">
        <v>65</v>
      </c>
      <c r="J7" s="77">
        <f>SUM(Table148111730[[#This Row],[Connacht Open 2021]:[Irish Close 19-20]])</f>
        <v>65</v>
      </c>
      <c r="K7" s="36">
        <f>IFERROR(SUM(LARGE(Table148111730[[#This Row],[Connacht Open 2021]:[Irish Close 19-20]],{1,2,3})),0)</f>
        <v>65</v>
      </c>
      <c r="L7" s="36">
        <f>IFERROR(SUM(LARGE(Table148111730[[#This Row],[Connacht Open 2021]:[Irish Close 19-20]],{1,2})/2*3),0)</f>
        <v>97.5</v>
      </c>
      <c r="M7" s="36">
        <f t="shared" si="0"/>
        <v>65</v>
      </c>
    </row>
    <row r="8" spans="1:13" x14ac:dyDescent="0.3">
      <c r="A8" s="30">
        <v>7</v>
      </c>
      <c r="B8" s="70" t="s">
        <v>216</v>
      </c>
      <c r="E8" s="37">
        <v>50</v>
      </c>
      <c r="F8" s="66">
        <v>0</v>
      </c>
      <c r="G8" s="36">
        <v>0</v>
      </c>
      <c r="H8" s="36">
        <v>0</v>
      </c>
      <c r="I8" s="36">
        <v>0</v>
      </c>
      <c r="J8" s="77">
        <f>SUM(Table148111730[[#This Row],[Connacht Open 2021]:[Irish Close 19-20]])</f>
        <v>50</v>
      </c>
      <c r="K8" s="36">
        <f>IFERROR(SUM(LARGE(Table148111730[[#This Row],[Connacht Open 2021]:[Irish Close 19-20]],{1,2,3})),0)</f>
        <v>50</v>
      </c>
      <c r="L8" s="36">
        <f>IFERROR(SUM(LARGE(Table148111730[[#This Row],[Connacht Open 2021]:[Irish Close 19-20]],{1,2})/2*3),0)</f>
        <v>75</v>
      </c>
      <c r="M8" s="36">
        <f t="shared" si="0"/>
        <v>75</v>
      </c>
    </row>
    <row r="9" spans="1:13" x14ac:dyDescent="0.3">
      <c r="B9" s="42" t="s">
        <v>118</v>
      </c>
      <c r="C9" s="34" t="s">
        <v>119</v>
      </c>
      <c r="D9" s="35"/>
      <c r="E9" s="35"/>
      <c r="F9" s="34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70" zoomScaleNormal="70" workbookViewId="0">
      <selection activeCell="B21" sqref="B21"/>
    </sheetView>
  </sheetViews>
  <sheetFormatPr defaultColWidth="9.140625" defaultRowHeight="15.75" x14ac:dyDescent="0.25"/>
  <cols>
    <col min="1" max="1" width="9.140625" style="36"/>
    <col min="2" max="2" width="23" style="70" customWidth="1"/>
    <col min="3" max="3" width="17.28515625" style="36" bestFit="1" customWidth="1"/>
    <col min="4" max="4" width="12.85546875" style="37" bestFit="1" customWidth="1"/>
    <col min="5" max="5" width="25" style="37" bestFit="1" customWidth="1"/>
    <col min="6" max="6" width="26" style="37" bestFit="1" customWidth="1"/>
    <col min="7" max="7" width="25" style="37" bestFit="1" customWidth="1"/>
    <col min="8" max="8" width="23.140625" style="37" bestFit="1" customWidth="1"/>
    <col min="9" max="9" width="4.5703125" style="37" hidden="1" customWidth="1"/>
    <col min="10" max="10" width="21.5703125" style="37" bestFit="1" customWidth="1"/>
    <col min="11" max="11" width="17.28515625" style="75" bestFit="1" customWidth="1"/>
    <col min="12" max="12" width="16.7109375" style="36" hidden="1" customWidth="1"/>
    <col min="13" max="13" width="20.5703125" style="36" hidden="1" customWidth="1"/>
    <col min="14" max="14" width="25.7109375" style="36" bestFit="1" customWidth="1"/>
    <col min="15" max="15" width="13.7109375" style="36" bestFit="1" customWidth="1"/>
    <col min="16" max="16384" width="9.140625" style="36"/>
  </cols>
  <sheetData>
    <row r="1" spans="1:14" s="66" customFormat="1" ht="67.5" customHeight="1" x14ac:dyDescent="0.25">
      <c r="A1" s="28" t="s">
        <v>18</v>
      </c>
      <c r="B1" s="67" t="s">
        <v>0</v>
      </c>
      <c r="C1" s="66" t="s">
        <v>2</v>
      </c>
      <c r="D1" s="66" t="s">
        <v>1</v>
      </c>
      <c r="E1" s="66" t="s">
        <v>206</v>
      </c>
      <c r="F1" s="66" t="s">
        <v>116</v>
      </c>
      <c r="G1" s="66" t="s">
        <v>149</v>
      </c>
      <c r="H1" s="1" t="s">
        <v>227</v>
      </c>
      <c r="I1" s="66" t="s">
        <v>117</v>
      </c>
      <c r="J1" s="66" t="s">
        <v>176</v>
      </c>
      <c r="K1" s="74" t="s">
        <v>7</v>
      </c>
      <c r="L1" s="66" t="s">
        <v>5</v>
      </c>
      <c r="M1" s="66" t="s">
        <v>6</v>
      </c>
      <c r="N1" s="66" t="s">
        <v>8</v>
      </c>
    </row>
    <row r="2" spans="1:14" x14ac:dyDescent="0.25">
      <c r="A2" s="30">
        <v>1</v>
      </c>
      <c r="B2" s="67" t="s">
        <v>73</v>
      </c>
      <c r="C2" s="36" t="s">
        <v>4</v>
      </c>
      <c r="D2" s="37">
        <v>3</v>
      </c>
      <c r="E2" s="37">
        <v>0</v>
      </c>
      <c r="F2" s="66">
        <v>140</v>
      </c>
      <c r="G2" s="66">
        <v>140</v>
      </c>
      <c r="H2" s="66">
        <v>0</v>
      </c>
      <c r="I2" s="66">
        <v>0</v>
      </c>
      <c r="J2" s="66">
        <v>175</v>
      </c>
      <c r="K2" s="75">
        <f>SUM(Table148111732[[#This Row],[Connacht Open 2021]:[Irish Close 19-20]])</f>
        <v>455</v>
      </c>
      <c r="L2" s="36">
        <f>IFERROR(SUM(LARGE(Table148111732[[#This Row],[Connacht Open 2021]:[Irish Close 19-20]],{1,2,3})),0)</f>
        <v>455</v>
      </c>
      <c r="M2" s="36">
        <f>IFERROR(SUM(LARGE(Table148111732[[#This Row],[Connacht Open 2021]:[Irish Close 19-20]],{1,2})/2*3),0)</f>
        <v>472.5</v>
      </c>
      <c r="N2" s="36">
        <f t="shared" ref="N2:N20" si="0">IF(D2=3,L2,M2)</f>
        <v>455</v>
      </c>
    </row>
    <row r="3" spans="1:14" x14ac:dyDescent="0.25">
      <c r="A3" s="30">
        <v>2</v>
      </c>
      <c r="B3" s="67" t="s">
        <v>122</v>
      </c>
      <c r="C3" s="36" t="s">
        <v>4</v>
      </c>
      <c r="D3" s="37">
        <v>3</v>
      </c>
      <c r="E3" s="37">
        <v>140</v>
      </c>
      <c r="F3" s="66">
        <v>20</v>
      </c>
      <c r="G3" s="66">
        <v>100</v>
      </c>
      <c r="H3" s="66">
        <v>100</v>
      </c>
      <c r="I3" s="66">
        <v>0</v>
      </c>
      <c r="J3" s="66">
        <v>65</v>
      </c>
      <c r="K3" s="75">
        <f>SUM(Table148111732[[#This Row],[Connacht Open 2021]:[Irish Close 19-20]])</f>
        <v>425</v>
      </c>
      <c r="L3" s="36">
        <f>IFERROR(SUM(LARGE(Table148111732[[#This Row],[Connacht Open 2021]:[Irish Close 19-20]],{1,2,3})),0)</f>
        <v>340</v>
      </c>
      <c r="M3" s="36">
        <f>IFERROR(SUM(LARGE(Table148111732[[#This Row],[Connacht Open 2021]:[Irish Close 19-20]],{1,2})/2*3),0)</f>
        <v>360</v>
      </c>
      <c r="N3" s="36">
        <f t="shared" si="0"/>
        <v>340</v>
      </c>
    </row>
    <row r="4" spans="1:14" x14ac:dyDescent="0.25">
      <c r="A4" s="30">
        <v>3</v>
      </c>
      <c r="B4" s="67" t="s">
        <v>64</v>
      </c>
      <c r="C4" s="36" t="s">
        <v>4</v>
      </c>
      <c r="D4" s="37">
        <v>3</v>
      </c>
      <c r="E4" s="37">
        <v>70</v>
      </c>
      <c r="F4" s="66">
        <v>100</v>
      </c>
      <c r="G4" s="66">
        <v>70</v>
      </c>
      <c r="H4" s="66">
        <v>140</v>
      </c>
      <c r="I4" s="66">
        <v>0</v>
      </c>
      <c r="J4" s="66">
        <v>0</v>
      </c>
      <c r="K4" s="75">
        <f>SUM(Table148111732[[#This Row],[Connacht Open 2021]:[Irish Close 19-20]])</f>
        <v>380</v>
      </c>
      <c r="L4" s="36">
        <f>IFERROR(SUM(LARGE(Table148111732[[#This Row],[Connacht Open 2021]:[Irish Close 19-20]],{1,2,3})),0)</f>
        <v>310</v>
      </c>
      <c r="M4" s="36">
        <f>IFERROR(SUM(LARGE(Table148111732[[#This Row],[Connacht Open 2021]:[Irish Close 19-20]],{1,2})/2*3),0)</f>
        <v>360</v>
      </c>
      <c r="N4" s="36">
        <f t="shared" si="0"/>
        <v>310</v>
      </c>
    </row>
    <row r="5" spans="1:14" x14ac:dyDescent="0.25">
      <c r="A5" s="30">
        <v>4</v>
      </c>
      <c r="B5" s="67" t="s">
        <v>79</v>
      </c>
      <c r="C5" s="36" t="s">
        <v>4</v>
      </c>
      <c r="D5" s="37">
        <v>3</v>
      </c>
      <c r="E5" s="37">
        <v>100</v>
      </c>
      <c r="F5" s="66">
        <v>70</v>
      </c>
      <c r="G5" s="66">
        <v>70</v>
      </c>
      <c r="H5" s="66">
        <v>0</v>
      </c>
      <c r="I5" s="66">
        <v>0</v>
      </c>
      <c r="J5" s="66">
        <v>125</v>
      </c>
      <c r="K5" s="75">
        <f>SUM(Table148111732[[#This Row],[Connacht Open 2021]:[Irish Close 19-20]])</f>
        <v>365</v>
      </c>
      <c r="L5" s="36">
        <f>IFERROR(SUM(LARGE(Table148111732[[#This Row],[Connacht Open 2021]:[Irish Close 19-20]],{1,2,3})),0)</f>
        <v>295</v>
      </c>
      <c r="M5" s="36">
        <f>IFERROR(SUM(LARGE(Table148111732[[#This Row],[Connacht Open 2021]:[Irish Close 19-20]],{1,2})/2*3),0)</f>
        <v>337.5</v>
      </c>
      <c r="N5" s="36">
        <f t="shared" si="0"/>
        <v>295</v>
      </c>
    </row>
    <row r="6" spans="1:14" x14ac:dyDescent="0.25">
      <c r="A6" s="30">
        <v>5</v>
      </c>
      <c r="B6" s="67" t="s">
        <v>86</v>
      </c>
      <c r="C6" s="36" t="s">
        <v>4</v>
      </c>
      <c r="D6" s="37">
        <v>3</v>
      </c>
      <c r="E6" s="37">
        <v>50</v>
      </c>
      <c r="F6" s="66">
        <v>50</v>
      </c>
      <c r="G6" s="66">
        <v>50</v>
      </c>
      <c r="H6" s="66">
        <v>70</v>
      </c>
      <c r="I6" s="66">
        <v>0</v>
      </c>
      <c r="J6" s="66">
        <v>0</v>
      </c>
      <c r="K6" s="75">
        <f>SUM(Table148111732[[#This Row],[Connacht Open 2021]:[Irish Close 19-20]])</f>
        <v>220</v>
      </c>
      <c r="L6" s="36">
        <f>IFERROR(SUM(LARGE(Table148111732[[#This Row],[Connacht Open 2021]:[Irish Close 19-20]],{1,2,3})),0)</f>
        <v>170</v>
      </c>
      <c r="M6" s="36">
        <f>IFERROR(SUM(LARGE(Table148111732[[#This Row],[Connacht Open 2021]:[Irish Close 19-20]],{1,2})/2*3),0)</f>
        <v>180</v>
      </c>
      <c r="N6" s="36">
        <f t="shared" si="0"/>
        <v>170</v>
      </c>
    </row>
    <row r="7" spans="1:14" x14ac:dyDescent="0.25">
      <c r="A7" s="30">
        <v>6</v>
      </c>
      <c r="B7" s="68" t="s">
        <v>63</v>
      </c>
      <c r="C7" s="34" t="s">
        <v>4</v>
      </c>
      <c r="D7" s="35">
        <v>3</v>
      </c>
      <c r="E7" s="37">
        <v>0</v>
      </c>
      <c r="F7" s="69">
        <v>100</v>
      </c>
      <c r="G7" s="66">
        <v>0</v>
      </c>
      <c r="H7" s="66">
        <v>0</v>
      </c>
      <c r="I7" s="69">
        <v>0</v>
      </c>
      <c r="J7" s="66">
        <v>90</v>
      </c>
      <c r="K7" s="75">
        <f>SUM(Table148111732[[#This Row],[Connacht Open 2021]:[Irish Close 19-20]])</f>
        <v>190</v>
      </c>
      <c r="L7" s="36">
        <f>IFERROR(SUM(LARGE(Table148111732[[#This Row],[Connacht Open 2021]:[Irish Close 19-20]],{1,2,3})),0)</f>
        <v>190</v>
      </c>
      <c r="M7" s="36">
        <f>IFERROR(SUM(LARGE(Table148111732[[#This Row],[Connacht Open 2021]:[Irish Close 19-20]],{1,2})/2*3),0)</f>
        <v>285</v>
      </c>
      <c r="N7" s="36">
        <f t="shared" si="0"/>
        <v>190</v>
      </c>
    </row>
    <row r="8" spans="1:14" x14ac:dyDescent="0.25">
      <c r="A8" s="30">
        <v>7</v>
      </c>
      <c r="B8" s="67" t="s">
        <v>74</v>
      </c>
      <c r="C8" s="36" t="s">
        <v>4</v>
      </c>
      <c r="D8" s="37">
        <v>3</v>
      </c>
      <c r="E8" s="37">
        <v>0</v>
      </c>
      <c r="F8" s="66">
        <v>50</v>
      </c>
      <c r="G8" s="66">
        <v>35</v>
      </c>
      <c r="H8" s="66">
        <v>0</v>
      </c>
      <c r="I8" s="66">
        <v>0</v>
      </c>
      <c r="J8" s="66">
        <v>40</v>
      </c>
      <c r="K8" s="75">
        <f>SUM(Table148111732[[#This Row],[Connacht Open 2021]:[Irish Close 19-20]])</f>
        <v>125</v>
      </c>
      <c r="L8" s="36">
        <f>IFERROR(SUM(LARGE(Table148111732[[#This Row],[Connacht Open 2021]:[Irish Close 19-20]],{1,2,3})),0)</f>
        <v>125</v>
      </c>
      <c r="M8" s="36">
        <f>IFERROR(SUM(LARGE(Table148111732[[#This Row],[Connacht Open 2021]:[Irish Close 19-20]],{1,2})/2*3),0)</f>
        <v>135</v>
      </c>
      <c r="N8" s="36">
        <f t="shared" si="0"/>
        <v>125</v>
      </c>
    </row>
    <row r="9" spans="1:14" x14ac:dyDescent="0.25">
      <c r="A9" s="30">
        <v>8</v>
      </c>
      <c r="B9" s="67" t="s">
        <v>81</v>
      </c>
      <c r="C9" s="36" t="s">
        <v>4</v>
      </c>
      <c r="D9" s="37">
        <v>3</v>
      </c>
      <c r="E9" s="37">
        <v>0</v>
      </c>
      <c r="F9" s="66">
        <v>40</v>
      </c>
      <c r="G9" s="66">
        <v>0</v>
      </c>
      <c r="H9" s="66">
        <v>40</v>
      </c>
      <c r="I9" s="66">
        <v>0</v>
      </c>
      <c r="J9" s="66">
        <v>45</v>
      </c>
      <c r="K9" s="75">
        <f>SUM(Table148111732[[#This Row],[Connacht Open 2021]:[Irish Close 19-20]])</f>
        <v>125</v>
      </c>
      <c r="L9" s="36">
        <f>IFERROR(SUM(LARGE(Table148111732[[#This Row],[Connacht Open 2021]:[Irish Close 19-20]],{1,2,3})),0)</f>
        <v>125</v>
      </c>
      <c r="M9" s="36">
        <f>IFERROR(SUM(LARGE(Table148111732[[#This Row],[Connacht Open 2021]:[Irish Close 19-20]],{1,2})/2*3),0)</f>
        <v>127.5</v>
      </c>
      <c r="N9" s="36">
        <f t="shared" si="0"/>
        <v>125</v>
      </c>
    </row>
    <row r="10" spans="1:14" x14ac:dyDescent="0.25">
      <c r="A10" s="30">
        <v>9</v>
      </c>
      <c r="B10" s="67" t="s">
        <v>66</v>
      </c>
      <c r="C10" s="36" t="s">
        <v>4</v>
      </c>
      <c r="D10" s="37">
        <v>3</v>
      </c>
      <c r="E10" s="37">
        <v>35</v>
      </c>
      <c r="F10" s="66">
        <v>0</v>
      </c>
      <c r="G10" s="66">
        <v>10</v>
      </c>
      <c r="H10" s="66">
        <v>50</v>
      </c>
      <c r="I10" s="66">
        <v>0</v>
      </c>
      <c r="J10" s="66">
        <v>25</v>
      </c>
      <c r="K10" s="75">
        <f>SUM(Table148111732[[#This Row],[Connacht Open 2021]:[Irish Close 19-20]])</f>
        <v>120</v>
      </c>
      <c r="L10" s="36">
        <f>IFERROR(SUM(LARGE(Table148111732[[#This Row],[Connacht Open 2021]:[Irish Close 19-20]],{1,2,3})),0)</f>
        <v>110</v>
      </c>
      <c r="M10" s="36">
        <f>IFERROR(SUM(LARGE(Table148111732[[#This Row],[Connacht Open 2021]:[Irish Close 19-20]],{1,2})/2*3),0)</f>
        <v>127.5</v>
      </c>
      <c r="N10" s="36">
        <f t="shared" si="0"/>
        <v>110</v>
      </c>
    </row>
    <row r="11" spans="1:14" x14ac:dyDescent="0.25">
      <c r="A11" s="30">
        <v>10</v>
      </c>
      <c r="B11" s="67" t="s">
        <v>217</v>
      </c>
      <c r="C11" s="36" t="s">
        <v>4</v>
      </c>
      <c r="D11" s="37">
        <v>3</v>
      </c>
      <c r="E11" s="37">
        <v>30</v>
      </c>
      <c r="F11" s="66">
        <v>35</v>
      </c>
      <c r="G11" s="66">
        <v>15</v>
      </c>
      <c r="H11" s="66">
        <v>0</v>
      </c>
      <c r="I11" s="66">
        <v>0</v>
      </c>
      <c r="J11" s="66">
        <v>30</v>
      </c>
      <c r="K11" s="75">
        <f>SUM(Table148111732[[#This Row],[Connacht Open 2021]:[Irish Close 19-20]])</f>
        <v>110</v>
      </c>
      <c r="L11" s="36">
        <f>IFERROR(SUM(LARGE(Table148111732[[#This Row],[Connacht Open 2021]:[Irish Close 19-20]],{1,2,3})),0)</f>
        <v>95</v>
      </c>
      <c r="M11" s="36">
        <f>IFERROR(SUM(LARGE(Table148111732[[#This Row],[Connacht Open 2021]:[Irish Close 19-20]],{1,2})/2*3),0)</f>
        <v>97.5</v>
      </c>
      <c r="N11" s="36">
        <f t="shared" si="0"/>
        <v>95</v>
      </c>
    </row>
    <row r="12" spans="1:14" x14ac:dyDescent="0.25">
      <c r="A12" s="30">
        <v>11</v>
      </c>
      <c r="B12" s="67" t="s">
        <v>75</v>
      </c>
      <c r="C12" s="36" t="s">
        <v>4</v>
      </c>
      <c r="D12" s="37">
        <v>3</v>
      </c>
      <c r="E12" s="37">
        <v>0</v>
      </c>
      <c r="F12" s="66">
        <v>0</v>
      </c>
      <c r="G12" s="66">
        <v>50</v>
      </c>
      <c r="H12" s="66">
        <v>0</v>
      </c>
      <c r="I12" s="66">
        <v>0</v>
      </c>
      <c r="J12" s="66">
        <v>35</v>
      </c>
      <c r="K12" s="75">
        <f>SUM(Table148111732[[#This Row],[Connacht Open 2021]:[Irish Close 19-20]])</f>
        <v>85</v>
      </c>
      <c r="L12" s="36">
        <f>IFERROR(SUM(LARGE(Table148111732[[#This Row],[Connacht Open 2021]:[Irish Close 19-20]],{1,2,3})),0)</f>
        <v>85</v>
      </c>
      <c r="M12" s="36">
        <f>IFERROR(SUM(LARGE(Table148111732[[#This Row],[Connacht Open 2021]:[Irish Close 19-20]],{1,2})/2*3),0)</f>
        <v>127.5</v>
      </c>
      <c r="N12" s="36">
        <f t="shared" si="0"/>
        <v>85</v>
      </c>
    </row>
    <row r="13" spans="1:14" x14ac:dyDescent="0.25">
      <c r="A13" s="30">
        <v>12</v>
      </c>
      <c r="B13" s="70" t="s">
        <v>67</v>
      </c>
      <c r="C13" s="36" t="s">
        <v>4</v>
      </c>
      <c r="D13" s="37">
        <v>3</v>
      </c>
      <c r="E13" s="37">
        <v>25</v>
      </c>
      <c r="F13" s="37">
        <v>25</v>
      </c>
      <c r="G13" s="66">
        <v>20</v>
      </c>
      <c r="H13" s="66">
        <v>0</v>
      </c>
      <c r="I13" s="37">
        <v>0</v>
      </c>
      <c r="J13" s="66">
        <v>0</v>
      </c>
      <c r="K13" s="75">
        <f>SUM(Table148111732[[#This Row],[Connacht Open 2021]:[Irish Close 19-20]])</f>
        <v>70</v>
      </c>
      <c r="L13" s="36">
        <f>IFERROR(SUM(LARGE(Table148111732[[#This Row],[Connacht Open 2021]:[Irish Close 19-20]],{1,2,3})),0)</f>
        <v>70</v>
      </c>
      <c r="M13" s="36">
        <f>IFERROR(SUM(LARGE(Table148111732[[#This Row],[Connacht Open 2021]:[Irish Close 19-20]],{1,2})/2*3),0)</f>
        <v>75</v>
      </c>
      <c r="N13" s="36">
        <f t="shared" si="0"/>
        <v>70</v>
      </c>
    </row>
    <row r="14" spans="1:14" x14ac:dyDescent="0.25">
      <c r="A14" s="30">
        <v>13</v>
      </c>
      <c r="B14" s="70" t="s">
        <v>161</v>
      </c>
      <c r="C14" s="36" t="s">
        <v>4</v>
      </c>
      <c r="D14" s="37">
        <v>3</v>
      </c>
      <c r="E14" s="37">
        <v>40</v>
      </c>
      <c r="F14" s="66">
        <v>0</v>
      </c>
      <c r="G14" s="66">
        <v>15</v>
      </c>
      <c r="H14" s="66">
        <v>0</v>
      </c>
      <c r="I14" s="66">
        <v>0</v>
      </c>
      <c r="J14" s="66">
        <v>0</v>
      </c>
      <c r="K14" s="75">
        <f>SUM(Table148111732[[#This Row],[Connacht Open 2021]:[Irish Close 19-20]])</f>
        <v>55</v>
      </c>
      <c r="L14" s="36">
        <f>IFERROR(SUM(LARGE(Table148111732[[#This Row],[Connacht Open 2021]:[Irish Close 19-20]],{1,2,3})),0)</f>
        <v>55</v>
      </c>
      <c r="M14" s="36">
        <f>IFERROR(SUM(LARGE(Table148111732[[#This Row],[Connacht Open 2021]:[Irish Close 19-20]],{1,2})/2*3),0)</f>
        <v>82.5</v>
      </c>
      <c r="N14" s="36">
        <f t="shared" si="0"/>
        <v>55</v>
      </c>
    </row>
    <row r="15" spans="1:14" x14ac:dyDescent="0.25">
      <c r="A15" s="30">
        <v>14</v>
      </c>
      <c r="B15" s="70" t="s">
        <v>179</v>
      </c>
      <c r="C15" s="36" t="s">
        <v>4</v>
      </c>
      <c r="D15" s="37">
        <v>3</v>
      </c>
      <c r="E15" s="37">
        <v>0</v>
      </c>
      <c r="F15" s="37">
        <v>0</v>
      </c>
      <c r="G15" s="66">
        <v>0</v>
      </c>
      <c r="H15" s="66">
        <v>0</v>
      </c>
      <c r="J15" s="66">
        <v>50</v>
      </c>
      <c r="K15" s="75">
        <f>SUM(Table148111732[[#This Row],[Connacht Open 2021]:[Irish Close 19-20]])</f>
        <v>50</v>
      </c>
      <c r="L15" s="36">
        <f>IFERROR(SUM(LARGE(Table148111732[[#This Row],[Connacht Open 2021]:[Irish Close 19-20]],{1,2,3})),0)</f>
        <v>50</v>
      </c>
      <c r="M15" s="36">
        <f>IFERROR(SUM(LARGE(Table148111732[[#This Row],[Connacht Open 2021]:[Irish Close 19-20]],{1,2})/2*3),0)</f>
        <v>75</v>
      </c>
      <c r="N15" s="36">
        <f t="shared" si="0"/>
        <v>50</v>
      </c>
    </row>
    <row r="16" spans="1:14" x14ac:dyDescent="0.25">
      <c r="A16" s="30">
        <v>15</v>
      </c>
      <c r="B16" s="70" t="s">
        <v>80</v>
      </c>
      <c r="C16" s="36" t="s">
        <v>4</v>
      </c>
      <c r="D16" s="37">
        <v>3</v>
      </c>
      <c r="E16" s="37">
        <v>0</v>
      </c>
      <c r="F16" s="37">
        <v>0</v>
      </c>
      <c r="G16" s="66">
        <v>40</v>
      </c>
      <c r="H16" s="66">
        <v>0</v>
      </c>
      <c r="I16" s="37">
        <v>0</v>
      </c>
      <c r="J16" s="66">
        <v>0</v>
      </c>
      <c r="K16" s="75">
        <f>SUM(Table148111732[[#This Row],[Connacht Open 2021]:[Irish Close 19-20]])</f>
        <v>40</v>
      </c>
      <c r="L16" s="36">
        <f>IFERROR(SUM(LARGE(Table148111732[[#This Row],[Connacht Open 2021]:[Irish Close 19-20]],{1,2,3})),0)</f>
        <v>40</v>
      </c>
      <c r="M16" s="36">
        <f>IFERROR(SUM(LARGE(Table148111732[[#This Row],[Connacht Open 2021]:[Irish Close 19-20]],{1,2})/2*3),0)</f>
        <v>60</v>
      </c>
      <c r="N16" s="36">
        <f t="shared" si="0"/>
        <v>40</v>
      </c>
    </row>
    <row r="17" spans="1:14" x14ac:dyDescent="0.25">
      <c r="A17" s="30">
        <v>16</v>
      </c>
      <c r="B17" s="70" t="s">
        <v>162</v>
      </c>
      <c r="C17" s="36" t="s">
        <v>4</v>
      </c>
      <c r="D17" s="37">
        <v>3</v>
      </c>
      <c r="E17" s="37">
        <v>0</v>
      </c>
      <c r="F17" s="37">
        <v>0</v>
      </c>
      <c r="G17" s="66">
        <v>30</v>
      </c>
      <c r="H17" s="66">
        <v>0</v>
      </c>
      <c r="I17" s="37">
        <v>0</v>
      </c>
      <c r="J17" s="66">
        <v>0</v>
      </c>
      <c r="K17" s="75">
        <f>SUM(Table148111732[[#This Row],[Connacht Open 2021]:[Irish Close 19-20]])</f>
        <v>30</v>
      </c>
      <c r="L17" s="36">
        <f>IFERROR(SUM(LARGE(Table148111732[[#This Row],[Connacht Open 2021]:[Irish Close 19-20]],{1,2,3})),0)</f>
        <v>30</v>
      </c>
      <c r="M17" s="36">
        <f>IFERROR(SUM(LARGE(Table148111732[[#This Row],[Connacht Open 2021]:[Irish Close 19-20]],{1,2})/2*3),0)</f>
        <v>45</v>
      </c>
      <c r="N17" s="36">
        <f t="shared" si="0"/>
        <v>30</v>
      </c>
    </row>
    <row r="18" spans="1:14" x14ac:dyDescent="0.25">
      <c r="A18" s="30">
        <v>17</v>
      </c>
      <c r="B18" s="70" t="s">
        <v>180</v>
      </c>
      <c r="C18" s="36" t="s">
        <v>4</v>
      </c>
      <c r="D18" s="37">
        <v>3</v>
      </c>
      <c r="E18" s="37">
        <v>0</v>
      </c>
      <c r="F18" s="37">
        <v>0</v>
      </c>
      <c r="G18" s="66">
        <v>0</v>
      </c>
      <c r="H18" s="66">
        <v>0</v>
      </c>
      <c r="J18" s="66">
        <v>20</v>
      </c>
      <c r="K18" s="75">
        <f>SUM(Table148111732[[#This Row],[Connacht Open 2021]:[Irish Close 19-20]])</f>
        <v>20</v>
      </c>
      <c r="L18" s="36">
        <f>IFERROR(SUM(LARGE(Table148111732[[#This Row],[Connacht Open 2021]:[Irish Close 19-20]],{1,2,3})),0)</f>
        <v>20</v>
      </c>
      <c r="M18" s="36">
        <f>IFERROR(SUM(LARGE(Table148111732[[#This Row],[Connacht Open 2021]:[Irish Close 19-20]],{1,2})/2*3),0)</f>
        <v>30</v>
      </c>
      <c r="N18" s="36">
        <f t="shared" si="0"/>
        <v>20</v>
      </c>
    </row>
    <row r="19" spans="1:14" x14ac:dyDescent="0.25">
      <c r="A19" s="30">
        <v>18</v>
      </c>
      <c r="B19" s="67"/>
      <c r="C19" s="36" t="s">
        <v>4</v>
      </c>
      <c r="D19" s="37">
        <v>3</v>
      </c>
      <c r="E19" s="37">
        <v>0</v>
      </c>
      <c r="F19" s="66">
        <v>0</v>
      </c>
      <c r="G19" s="66"/>
      <c r="H19" s="66">
        <v>0</v>
      </c>
      <c r="I19" s="66"/>
      <c r="J19" s="66">
        <v>0</v>
      </c>
      <c r="K19" s="75">
        <f>SUM(Table148111732[[#This Row],[Connacht Open 2021]:[Irish Close 19-20]])</f>
        <v>0</v>
      </c>
      <c r="L19" s="36">
        <f>IFERROR(SUM(LARGE(Table148111732[[#This Row],[Connacht Open 2021]:[Irish Close 19-20]],{1,2,3})),0)</f>
        <v>0</v>
      </c>
      <c r="M19" s="36">
        <f>IFERROR(SUM(LARGE(Table148111732[[#This Row],[Connacht Open 2021]:[Irish Close 19-20]],{1,2})/2*3),0)</f>
        <v>0</v>
      </c>
      <c r="N19" s="36">
        <f t="shared" si="0"/>
        <v>0</v>
      </c>
    </row>
    <row r="20" spans="1:14" x14ac:dyDescent="0.25">
      <c r="A20" s="30">
        <v>19</v>
      </c>
      <c r="B20" s="67"/>
      <c r="C20" s="36" t="s">
        <v>4</v>
      </c>
      <c r="D20" s="37">
        <v>3</v>
      </c>
      <c r="E20" s="37">
        <v>0</v>
      </c>
      <c r="F20" s="66">
        <v>0</v>
      </c>
      <c r="G20" s="66"/>
      <c r="H20" s="66">
        <v>0</v>
      </c>
      <c r="I20" s="66"/>
      <c r="J20" s="66"/>
      <c r="K20" s="75">
        <f>SUM(Table148111732[[#This Row],[Connacht Open 2021]:[Irish Close 19-20]])</f>
        <v>0</v>
      </c>
      <c r="L20" s="36">
        <f>IFERROR(SUM(LARGE(Table148111732[[#This Row],[Connacht Open 2021]:[Irish Close 19-20]],{1,2,3})),0)</f>
        <v>0</v>
      </c>
      <c r="M20" s="36">
        <f>IFERROR(SUM(LARGE(Table148111732[[#This Row],[Connacht Open 2021]:[Irish Close 19-20]],{1,2})/2*3),0)</f>
        <v>0</v>
      </c>
      <c r="N20" s="36">
        <f t="shared" si="0"/>
        <v>0</v>
      </c>
    </row>
    <row r="21" spans="1:14" x14ac:dyDescent="0.25">
      <c r="A21" s="30">
        <v>16</v>
      </c>
      <c r="E21" s="37">
        <v>0</v>
      </c>
      <c r="K21" s="75">
        <f>SUM(Table148111732[[#This Row],[Connacht Open 2021]:[Irish Close 19-20]])</f>
        <v>0</v>
      </c>
      <c r="L21" s="36">
        <f>IFERROR(SUM(LARGE(Table148111732[[#This Row],[Connacht Open 2021]:[Irish Close 19-20]],{1,2,3})),0)</f>
        <v>0</v>
      </c>
      <c r="M21" s="36">
        <f>IFERROR(SUM(LARGE(Table148111732[[#This Row],[Connacht Open 2021]:[Irish Close 19-20]],{1,2})/2*3),0)</f>
        <v>0</v>
      </c>
      <c r="N21" s="36">
        <f>IF('Mens 70s'!D15=3,L21,M21)</f>
        <v>0</v>
      </c>
    </row>
    <row r="22" spans="1:14" x14ac:dyDescent="0.25">
      <c r="A22" s="30"/>
      <c r="B22" s="67"/>
      <c r="F22" s="66"/>
      <c r="G22" s="66"/>
      <c r="H22" s="66"/>
      <c r="I22" s="66">
        <v>0</v>
      </c>
      <c r="J22" s="66"/>
      <c r="K22" s="75">
        <f>SUM(Table148111732[[#This Row],[Connacht Open 2021]:[Irish Close 19-20]])</f>
        <v>0</v>
      </c>
      <c r="L22" s="36">
        <f>IFERROR(SUM(LARGE(Table148111732[[#This Row],[Connacht Open 2021]:[Irish Close 19-20]],{1,2,3})),0)</f>
        <v>0</v>
      </c>
      <c r="M22" s="36">
        <f>IFERROR(SUM(LARGE(Table148111732[[#This Row],[Connacht Open 2021]:[Irish Close 19-20]],{1,2})/2*3),0)</f>
        <v>0</v>
      </c>
      <c r="N22" s="36">
        <f>IF(D22=3,L22,M22)</f>
        <v>0</v>
      </c>
    </row>
    <row r="23" spans="1:14" x14ac:dyDescent="0.25">
      <c r="B23" s="42" t="s">
        <v>118</v>
      </c>
      <c r="C23" s="34" t="s">
        <v>119</v>
      </c>
      <c r="D23" s="35"/>
      <c r="E23" s="35"/>
      <c r="F23" s="35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0" zoomScaleNormal="80" workbookViewId="0">
      <selection activeCell="H1" sqref="H1"/>
    </sheetView>
  </sheetViews>
  <sheetFormatPr defaultColWidth="9.140625" defaultRowHeight="15.75" x14ac:dyDescent="0.25"/>
  <cols>
    <col min="1" max="1" width="9.140625" style="32"/>
    <col min="2" max="2" width="23" style="38" customWidth="1"/>
    <col min="3" max="3" width="10.42578125" style="32" customWidth="1"/>
    <col min="4" max="4" width="12.85546875" style="23" bestFit="1" customWidth="1"/>
    <col min="5" max="5" width="19.140625" style="32" bestFit="1" customWidth="1"/>
    <col min="6" max="6" width="20.28515625" style="32" bestFit="1" customWidth="1"/>
    <col min="7" max="7" width="19.140625" style="32" bestFit="1" customWidth="1"/>
    <col min="8" max="8" width="17.42578125" style="32" bestFit="1" customWidth="1"/>
    <col min="9" max="9" width="4.42578125" style="32" hidden="1" customWidth="1"/>
    <col min="10" max="10" width="15.85546875" style="32" bestFit="1" customWidth="1"/>
    <col min="11" max="11" width="17.28515625" style="75" bestFit="1" customWidth="1"/>
    <col min="12" max="12" width="16.7109375" style="32" hidden="1" customWidth="1"/>
    <col min="13" max="13" width="20.5703125" style="32" hidden="1" customWidth="1"/>
    <col min="14" max="14" width="25.7109375" style="32" bestFit="1" customWidth="1"/>
    <col min="15" max="15" width="13.7109375" style="32" bestFit="1" customWidth="1"/>
    <col min="16" max="16384" width="9.140625" style="32"/>
  </cols>
  <sheetData>
    <row r="1" spans="1:14" s="29" customFormat="1" ht="42" customHeight="1" x14ac:dyDescent="0.25">
      <c r="A1" s="28" t="s">
        <v>18</v>
      </c>
      <c r="B1" s="26" t="s">
        <v>0</v>
      </c>
      <c r="C1" s="29" t="s">
        <v>2</v>
      </c>
      <c r="D1" s="29" t="s">
        <v>1</v>
      </c>
      <c r="E1" s="29" t="s">
        <v>206</v>
      </c>
      <c r="F1" s="29" t="s">
        <v>116</v>
      </c>
      <c r="G1" s="29" t="s">
        <v>149</v>
      </c>
      <c r="H1" s="1" t="s">
        <v>227</v>
      </c>
      <c r="I1" s="29" t="s">
        <v>117</v>
      </c>
      <c r="J1" s="29" t="s">
        <v>176</v>
      </c>
      <c r="K1" s="74" t="s">
        <v>7</v>
      </c>
      <c r="L1" s="29" t="s">
        <v>5</v>
      </c>
      <c r="M1" s="29" t="s">
        <v>6</v>
      </c>
      <c r="N1" s="29" t="s">
        <v>8</v>
      </c>
    </row>
    <row r="2" spans="1:14" x14ac:dyDescent="0.25">
      <c r="A2" s="30">
        <v>1</v>
      </c>
      <c r="B2" s="26" t="s">
        <v>80</v>
      </c>
      <c r="C2" s="32" t="s">
        <v>4</v>
      </c>
      <c r="D2" s="23">
        <v>3</v>
      </c>
      <c r="E2" s="32">
        <v>0</v>
      </c>
      <c r="F2" s="22">
        <v>140</v>
      </c>
      <c r="G2" s="22">
        <v>0</v>
      </c>
      <c r="H2" s="29">
        <v>100</v>
      </c>
      <c r="I2" s="22">
        <v>0</v>
      </c>
      <c r="J2" s="22">
        <v>175</v>
      </c>
      <c r="K2" s="75">
        <f>SUM(Table148111734[[#This Row],[Connacht Open 2021]:[Irish Close 19-20]])</f>
        <v>415</v>
      </c>
      <c r="L2" s="32">
        <f>IFERROR(SUM(LARGE(Table148111734[[#This Row],[Connacht Open 2021]:[Irish Close 19-20]],{1,2,3})),0)</f>
        <v>415</v>
      </c>
      <c r="M2" s="32">
        <f>IFERROR(SUM(LARGE(Table148111734[[#This Row],[Connacht Open 2021]:[Irish Close 19-20]],{1,2})/2*3),0)</f>
        <v>472.5</v>
      </c>
      <c r="N2" s="32">
        <f t="shared" ref="N2:N15" si="0">IF(D2=3,L2,M2)</f>
        <v>415</v>
      </c>
    </row>
    <row r="3" spans="1:14" x14ac:dyDescent="0.25">
      <c r="A3" s="30">
        <v>2</v>
      </c>
      <c r="B3" s="44" t="s">
        <v>78</v>
      </c>
      <c r="C3" s="34" t="s">
        <v>4</v>
      </c>
      <c r="D3" s="35">
        <v>3</v>
      </c>
      <c r="E3" s="32">
        <v>100</v>
      </c>
      <c r="F3" s="24">
        <v>70</v>
      </c>
      <c r="G3" s="22">
        <v>0</v>
      </c>
      <c r="H3" s="29">
        <v>70</v>
      </c>
      <c r="I3" s="24">
        <v>0</v>
      </c>
      <c r="J3" s="24">
        <v>0</v>
      </c>
      <c r="K3" s="75">
        <f>SUM(Table148111734[[#This Row],[Connacht Open 2021]:[Irish Close 19-20]])</f>
        <v>240</v>
      </c>
      <c r="L3" s="32">
        <f>IFERROR(SUM(LARGE(Table148111734[[#This Row],[Connacht Open 2021]:[Irish Close 19-20]],{1,2,3})),0)</f>
        <v>240</v>
      </c>
      <c r="M3" s="32">
        <f>IFERROR(SUM(LARGE(Table148111734[[#This Row],[Connacht Open 2021]:[Irish Close 19-20]],{1,2})/2*3),0)</f>
        <v>255</v>
      </c>
      <c r="N3" s="32">
        <f t="shared" si="0"/>
        <v>240</v>
      </c>
    </row>
    <row r="4" spans="1:14" x14ac:dyDescent="0.25">
      <c r="A4" s="30">
        <v>3</v>
      </c>
      <c r="B4" s="26" t="s">
        <v>83</v>
      </c>
      <c r="C4" s="32" t="s">
        <v>4</v>
      </c>
      <c r="D4" s="23">
        <v>3</v>
      </c>
      <c r="E4" s="32">
        <v>0</v>
      </c>
      <c r="F4" s="22">
        <v>100</v>
      </c>
      <c r="G4" s="22">
        <v>0</v>
      </c>
      <c r="H4" s="29">
        <v>0</v>
      </c>
      <c r="I4" s="22">
        <v>0</v>
      </c>
      <c r="J4" s="22">
        <v>125</v>
      </c>
      <c r="K4" s="75">
        <f>SUM(Table148111734[[#This Row],[Connacht Open 2021]:[Irish Close 19-20]])</f>
        <v>225</v>
      </c>
      <c r="L4" s="32">
        <f>IFERROR(SUM(LARGE(Table148111734[[#This Row],[Connacht Open 2021]:[Irish Close 19-20]],{1,2,3})),0)</f>
        <v>225</v>
      </c>
      <c r="M4" s="32">
        <f>IFERROR(SUM(LARGE(Table148111734[[#This Row],[Connacht Open 2021]:[Irish Close 19-20]],{1,2})/2*3),0)</f>
        <v>337.5</v>
      </c>
      <c r="N4" s="32">
        <f t="shared" si="0"/>
        <v>225</v>
      </c>
    </row>
    <row r="5" spans="1:14" x14ac:dyDescent="0.25">
      <c r="A5" s="30">
        <v>4</v>
      </c>
      <c r="B5" s="26" t="s">
        <v>76</v>
      </c>
      <c r="C5" s="36" t="s">
        <v>4</v>
      </c>
      <c r="D5" s="37">
        <v>3</v>
      </c>
      <c r="E5" s="32">
        <v>140</v>
      </c>
      <c r="F5" s="22">
        <v>40</v>
      </c>
      <c r="G5" s="22">
        <v>0</v>
      </c>
      <c r="H5" s="29">
        <v>0</v>
      </c>
      <c r="I5" s="22">
        <v>0</v>
      </c>
      <c r="J5" s="22">
        <v>0</v>
      </c>
      <c r="K5" s="75">
        <f>SUM(Table148111734[[#This Row],[Connacht Open 2021]:[Irish Close 19-20]])</f>
        <v>180</v>
      </c>
      <c r="L5" s="32">
        <f>IFERROR(SUM(LARGE(Table148111734[[#This Row],[Connacht Open 2021]:[Irish Close 19-20]],{1,2,3})),0)</f>
        <v>180</v>
      </c>
      <c r="M5" s="32">
        <f>IFERROR(SUM(LARGE(Table148111734[[#This Row],[Connacht Open 2021]:[Irish Close 19-20]],{1,2})/2*3),0)</f>
        <v>270</v>
      </c>
      <c r="N5" s="32">
        <f t="shared" si="0"/>
        <v>180</v>
      </c>
    </row>
    <row r="6" spans="1:14" x14ac:dyDescent="0.25">
      <c r="A6" s="30">
        <v>5</v>
      </c>
      <c r="B6" s="25" t="s">
        <v>77</v>
      </c>
      <c r="C6" s="32" t="s">
        <v>4</v>
      </c>
      <c r="D6" s="23">
        <v>3</v>
      </c>
      <c r="E6" s="32">
        <v>70</v>
      </c>
      <c r="F6" s="22">
        <v>0</v>
      </c>
      <c r="G6" s="22">
        <v>25</v>
      </c>
      <c r="H6" s="29">
        <v>50</v>
      </c>
      <c r="I6" s="22">
        <v>0</v>
      </c>
      <c r="J6" s="22">
        <v>25</v>
      </c>
      <c r="K6" s="75">
        <f>SUM(Table148111734[[#This Row],[Connacht Open 2021]:[Irish Close 19-20]])</f>
        <v>170</v>
      </c>
      <c r="L6" s="32">
        <f>IFERROR(SUM(LARGE(Table148111734[[#This Row],[Connacht Open 2021]:[Irish Close 19-20]],{1,2,3})),0)</f>
        <v>145</v>
      </c>
      <c r="M6" s="32">
        <f>IFERROR(SUM(LARGE(Table148111734[[#This Row],[Connacht Open 2021]:[Irish Close 19-20]],{1,2})/2*3),0)</f>
        <v>180</v>
      </c>
      <c r="N6" s="32">
        <f t="shared" si="0"/>
        <v>145</v>
      </c>
    </row>
    <row r="7" spans="1:14" x14ac:dyDescent="0.25">
      <c r="A7" s="30">
        <v>6</v>
      </c>
      <c r="B7" s="26" t="s">
        <v>168</v>
      </c>
      <c r="C7" s="32" t="s">
        <v>4</v>
      </c>
      <c r="D7" s="23">
        <v>3</v>
      </c>
      <c r="E7" s="32">
        <v>0</v>
      </c>
      <c r="F7" s="22"/>
      <c r="G7" s="22">
        <v>0</v>
      </c>
      <c r="H7" s="29">
        <v>140</v>
      </c>
      <c r="I7" s="22"/>
      <c r="J7" s="22">
        <v>0</v>
      </c>
      <c r="K7" s="75">
        <f>SUM(Table148111734[[#This Row],[Connacht Open 2021]:[Irish Close 19-20]])</f>
        <v>140</v>
      </c>
      <c r="L7" s="32">
        <f>IFERROR(SUM(LARGE(Table148111734[[#This Row],[Connacht Open 2021]:[Irish Close 19-20]],{1,2,3})),0)</f>
        <v>140</v>
      </c>
      <c r="M7" s="32">
        <f>IFERROR(SUM(LARGE(Table148111734[[#This Row],[Connacht Open 2021]:[Irish Close 19-20]],{1,2})/2*3),0)</f>
        <v>210</v>
      </c>
      <c r="N7" s="32">
        <f t="shared" si="0"/>
        <v>140</v>
      </c>
    </row>
    <row r="8" spans="1:14" x14ac:dyDescent="0.25">
      <c r="A8" s="30">
        <v>7</v>
      </c>
      <c r="B8" s="26" t="s">
        <v>181</v>
      </c>
      <c r="C8" s="32" t="s">
        <v>4</v>
      </c>
      <c r="D8" s="23">
        <v>3</v>
      </c>
      <c r="E8" s="32">
        <v>0</v>
      </c>
      <c r="F8" s="22">
        <v>0</v>
      </c>
      <c r="G8" s="22">
        <v>0</v>
      </c>
      <c r="H8" s="29">
        <v>0</v>
      </c>
      <c r="I8" s="22"/>
      <c r="J8" s="22">
        <v>90</v>
      </c>
      <c r="K8" s="75">
        <f>SUM(Table148111734[[#This Row],[Connacht Open 2021]:[Irish Close 19-20]])</f>
        <v>90</v>
      </c>
      <c r="L8" s="32">
        <f>IFERROR(SUM(LARGE(Table148111734[[#This Row],[Connacht Open 2021]:[Irish Close 19-20]],{1,2,3})),0)</f>
        <v>90</v>
      </c>
      <c r="M8" s="32">
        <f>IFERROR(SUM(LARGE(Table148111734[[#This Row],[Connacht Open 2021]:[Irish Close 19-20]],{1,2})/2*3),0)</f>
        <v>135</v>
      </c>
      <c r="N8" s="32">
        <f t="shared" si="0"/>
        <v>90</v>
      </c>
    </row>
    <row r="9" spans="1:14" x14ac:dyDescent="0.25">
      <c r="A9" s="30">
        <v>8</v>
      </c>
      <c r="B9" s="26" t="s">
        <v>85</v>
      </c>
      <c r="C9" s="32" t="s">
        <v>4</v>
      </c>
      <c r="D9" s="23">
        <v>3</v>
      </c>
      <c r="E9" s="32">
        <v>0</v>
      </c>
      <c r="F9" s="22">
        <v>35</v>
      </c>
      <c r="G9" s="22">
        <v>0</v>
      </c>
      <c r="H9" s="29">
        <v>0</v>
      </c>
      <c r="I9" s="22">
        <v>0</v>
      </c>
      <c r="J9" s="22">
        <v>50</v>
      </c>
      <c r="K9" s="75">
        <f>SUM(Table148111734[[#This Row],[Connacht Open 2021]:[Irish Close 19-20]])</f>
        <v>85</v>
      </c>
      <c r="L9" s="32">
        <f>IFERROR(SUM(LARGE(Table148111734[[#This Row],[Connacht Open 2021]:[Irish Close 19-20]],{1,2,3})),0)</f>
        <v>85</v>
      </c>
      <c r="M9" s="32">
        <f>IFERROR(SUM(LARGE(Table148111734[[#This Row],[Connacht Open 2021]:[Irish Close 19-20]],{1,2})/2*3),0)</f>
        <v>127.5</v>
      </c>
      <c r="N9" s="32">
        <f t="shared" si="0"/>
        <v>85</v>
      </c>
    </row>
    <row r="10" spans="1:14" x14ac:dyDescent="0.25">
      <c r="A10" s="30">
        <v>9</v>
      </c>
      <c r="B10" s="26" t="s">
        <v>84</v>
      </c>
      <c r="C10" s="32" t="s">
        <v>4</v>
      </c>
      <c r="D10" s="23">
        <v>3</v>
      </c>
      <c r="E10" s="32">
        <v>0</v>
      </c>
      <c r="F10" s="22">
        <v>0</v>
      </c>
      <c r="G10" s="22">
        <v>0</v>
      </c>
      <c r="H10" s="29">
        <v>0</v>
      </c>
      <c r="I10" s="22">
        <v>0</v>
      </c>
      <c r="J10" s="22">
        <v>65</v>
      </c>
      <c r="K10" s="75">
        <f>SUM(Table148111734[[#This Row],[Connacht Open 2021]:[Irish Close 19-20]])</f>
        <v>65</v>
      </c>
      <c r="L10" s="32">
        <f>IFERROR(SUM(LARGE(Table148111734[[#This Row],[Connacht Open 2021]:[Irish Close 19-20]],{1,2,3})),0)</f>
        <v>65</v>
      </c>
      <c r="M10" s="32">
        <f>IFERROR(SUM(LARGE(Table148111734[[#This Row],[Connacht Open 2021]:[Irish Close 19-20]],{1,2})/2*3),0)</f>
        <v>97.5</v>
      </c>
      <c r="N10" s="32">
        <f t="shared" si="0"/>
        <v>65</v>
      </c>
    </row>
    <row r="11" spans="1:14" x14ac:dyDescent="0.25">
      <c r="A11" s="30">
        <v>10</v>
      </c>
      <c r="B11" s="26" t="s">
        <v>147</v>
      </c>
      <c r="C11" s="32" t="s">
        <v>4</v>
      </c>
      <c r="D11" s="23">
        <v>3</v>
      </c>
      <c r="E11" s="32">
        <v>50</v>
      </c>
      <c r="F11" s="22">
        <v>0</v>
      </c>
      <c r="G11" s="22">
        <v>0</v>
      </c>
      <c r="H11" s="29">
        <v>0</v>
      </c>
      <c r="I11" s="22">
        <v>0</v>
      </c>
      <c r="J11" s="22">
        <v>0</v>
      </c>
      <c r="K11" s="75">
        <f>SUM(Table148111734[[#This Row],[Connacht Open 2021]:[Irish Close 19-20]])</f>
        <v>50</v>
      </c>
      <c r="L11" s="32">
        <f>IFERROR(SUM(LARGE(Table148111734[[#This Row],[Connacht Open 2021]:[Irish Close 19-20]],{1,2,3})),0)</f>
        <v>50</v>
      </c>
      <c r="M11" s="32">
        <f>IFERROR(SUM(LARGE(Table148111734[[#This Row],[Connacht Open 2021]:[Irish Close 19-20]],{1,2})/2*3),0)</f>
        <v>75</v>
      </c>
      <c r="N11" s="32">
        <f t="shared" si="0"/>
        <v>50</v>
      </c>
    </row>
    <row r="12" spans="1:14" x14ac:dyDescent="0.25">
      <c r="A12" s="30">
        <v>11</v>
      </c>
      <c r="B12" s="26" t="s">
        <v>82</v>
      </c>
      <c r="C12" s="32" t="s">
        <v>4</v>
      </c>
      <c r="D12" s="23">
        <v>3</v>
      </c>
      <c r="E12" s="32">
        <v>0</v>
      </c>
      <c r="F12" s="22">
        <v>50</v>
      </c>
      <c r="G12" s="22">
        <v>0</v>
      </c>
      <c r="H12" s="29">
        <v>0</v>
      </c>
      <c r="I12" s="22">
        <v>0</v>
      </c>
      <c r="J12" s="22">
        <v>0</v>
      </c>
      <c r="K12" s="75">
        <f>SUM(Table148111734[[#This Row],[Connacht Open 2021]:[Irish Close 19-20]])</f>
        <v>50</v>
      </c>
      <c r="L12" s="32">
        <f>IFERROR(SUM(LARGE(Table148111734[[#This Row],[Connacht Open 2021]:[Irish Close 19-20]],{1,2,3})),0)</f>
        <v>50</v>
      </c>
      <c r="M12" s="32">
        <f>IFERROR(SUM(LARGE(Table148111734[[#This Row],[Connacht Open 2021]:[Irish Close 19-20]],{1,2})/2*3),0)</f>
        <v>75</v>
      </c>
      <c r="N12" s="32">
        <f t="shared" si="0"/>
        <v>50</v>
      </c>
    </row>
    <row r="13" spans="1:14" x14ac:dyDescent="0.25">
      <c r="A13" s="30">
        <v>12</v>
      </c>
      <c r="B13" s="26" t="s">
        <v>182</v>
      </c>
      <c r="C13" s="32" t="s">
        <v>4</v>
      </c>
      <c r="D13" s="23">
        <v>3</v>
      </c>
      <c r="E13" s="32">
        <v>0</v>
      </c>
      <c r="F13" s="22">
        <v>0</v>
      </c>
      <c r="G13" s="22">
        <v>0</v>
      </c>
      <c r="H13" s="29">
        <v>0</v>
      </c>
      <c r="I13" s="22"/>
      <c r="J13" s="22">
        <v>45</v>
      </c>
      <c r="K13" s="75">
        <f>SUM(Table148111734[[#This Row],[Connacht Open 2021]:[Irish Close 19-20]])</f>
        <v>45</v>
      </c>
      <c r="L13" s="32">
        <f>IFERROR(SUM(LARGE(Table148111734[[#This Row],[Connacht Open 2021]:[Irish Close 19-20]],{1,2,3})),0)</f>
        <v>45</v>
      </c>
      <c r="M13" s="32">
        <f>IFERROR(SUM(LARGE(Table148111734[[#This Row],[Connacht Open 2021]:[Irish Close 19-20]],{1,2})/2*3),0)</f>
        <v>67.5</v>
      </c>
      <c r="N13" s="32">
        <f t="shared" si="0"/>
        <v>45</v>
      </c>
    </row>
    <row r="14" spans="1:14" x14ac:dyDescent="0.25">
      <c r="A14" s="30">
        <v>13</v>
      </c>
      <c r="B14" s="26" t="s">
        <v>169</v>
      </c>
      <c r="C14" s="32" t="s">
        <v>4</v>
      </c>
      <c r="D14" s="23">
        <v>3</v>
      </c>
      <c r="E14" s="32">
        <v>0</v>
      </c>
      <c r="F14" s="22">
        <v>0</v>
      </c>
      <c r="G14" s="22">
        <v>0</v>
      </c>
      <c r="H14" s="29">
        <v>0</v>
      </c>
      <c r="I14" s="22"/>
      <c r="J14" s="22">
        <v>0</v>
      </c>
      <c r="K14" s="75">
        <f>SUM(Table148111734[[#This Row],[Connacht Open 2021]:[Irish Close 19-20]])</f>
        <v>0</v>
      </c>
      <c r="L14" s="32">
        <f>IFERROR(SUM(LARGE(Table148111734[[#This Row],[Connacht Open 2021]:[Irish Close 19-20]],{1,2,3})),0)</f>
        <v>0</v>
      </c>
      <c r="M14" s="32">
        <f>IFERROR(SUM(LARGE(Table148111734[[#This Row],[Connacht Open 2021]:[Irish Close 19-20]],{1,2})/2*3),0)</f>
        <v>0</v>
      </c>
      <c r="N14" s="32">
        <f t="shared" si="0"/>
        <v>0</v>
      </c>
    </row>
    <row r="15" spans="1:14" x14ac:dyDescent="0.25">
      <c r="A15" s="30">
        <v>14</v>
      </c>
      <c r="B15" s="26" t="s">
        <v>170</v>
      </c>
      <c r="C15" s="32" t="s">
        <v>4</v>
      </c>
      <c r="D15" s="23">
        <v>3</v>
      </c>
      <c r="E15" s="32">
        <v>0</v>
      </c>
      <c r="F15" s="22">
        <v>0</v>
      </c>
      <c r="G15" s="22">
        <v>0</v>
      </c>
      <c r="H15" s="29">
        <v>0</v>
      </c>
      <c r="I15" s="22"/>
      <c r="J15" s="22">
        <v>0</v>
      </c>
      <c r="K15" s="75">
        <f>SUM(Table148111734[[#This Row],[Connacht Open 2021]:[Irish Close 19-20]])</f>
        <v>0</v>
      </c>
      <c r="L15" s="32">
        <f>IFERROR(SUM(LARGE(Table148111734[[#This Row],[Connacht Open 2021]:[Irish Close 19-20]],{1,2,3})),0)</f>
        <v>0</v>
      </c>
      <c r="M15" s="32">
        <f>IFERROR(SUM(LARGE(Table148111734[[#This Row],[Connacht Open 2021]:[Irish Close 19-20]],{1,2})/2*3),0)</f>
        <v>0</v>
      </c>
      <c r="N15" s="32">
        <f t="shared" si="0"/>
        <v>0</v>
      </c>
    </row>
    <row r="16" spans="1:14" x14ac:dyDescent="0.25">
      <c r="B16" s="43" t="s">
        <v>118</v>
      </c>
      <c r="C16" s="34" t="s">
        <v>119</v>
      </c>
      <c r="D16" s="35"/>
      <c r="E16" s="34"/>
      <c r="F16" s="34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zoomScale="80" zoomScaleNormal="80" workbookViewId="0">
      <selection activeCell="J9" sqref="J9"/>
    </sheetView>
  </sheetViews>
  <sheetFormatPr defaultRowHeight="15" x14ac:dyDescent="0.25"/>
  <cols>
    <col min="2" max="2" width="23" customWidth="1"/>
    <col min="3" max="3" width="17.28515625" bestFit="1" customWidth="1"/>
    <col min="4" max="4" width="12.85546875" style="2" bestFit="1" customWidth="1"/>
    <col min="5" max="5" width="19.140625" bestFit="1" customWidth="1"/>
    <col min="6" max="6" width="20.28515625" bestFit="1" customWidth="1"/>
    <col min="7" max="7" width="19.140625" bestFit="1" customWidth="1"/>
    <col min="8" max="8" width="17.42578125" bestFit="1" customWidth="1"/>
    <col min="9" max="9" width="19.5703125" hidden="1" customWidth="1"/>
    <col min="10" max="10" width="15.85546875" bestFit="1" customWidth="1"/>
    <col min="11" max="11" width="17.28515625" style="57" bestFit="1" customWidth="1"/>
    <col min="12" max="12" width="16.7109375" hidden="1" customWidth="1"/>
    <col min="13" max="13" width="20.5703125" hidden="1" customWidth="1"/>
    <col min="14" max="14" width="25.7109375" bestFit="1" customWidth="1"/>
    <col min="15" max="15" width="13.7109375" bestFit="1" customWidth="1"/>
  </cols>
  <sheetData>
    <row r="1" spans="1:14" s="1" customFormat="1" ht="30.75" thickBot="1" x14ac:dyDescent="0.3">
      <c r="A1" s="10" t="s">
        <v>18</v>
      </c>
      <c r="B1" s="1" t="s">
        <v>0</v>
      </c>
      <c r="C1" s="1" t="s">
        <v>2</v>
      </c>
      <c r="D1" s="1" t="s">
        <v>1</v>
      </c>
      <c r="E1" s="1" t="s">
        <v>206</v>
      </c>
      <c r="F1" s="1" t="s">
        <v>207</v>
      </c>
      <c r="G1" s="1" t="s">
        <v>149</v>
      </c>
      <c r="H1" s="1" t="s">
        <v>227</v>
      </c>
      <c r="I1" s="1" t="s">
        <v>117</v>
      </c>
      <c r="J1" s="1" t="s">
        <v>176</v>
      </c>
      <c r="K1" s="56" t="s">
        <v>7</v>
      </c>
      <c r="L1" s="1" t="s">
        <v>5</v>
      </c>
      <c r="M1" s="1" t="s">
        <v>6</v>
      </c>
      <c r="N1" s="1" t="s">
        <v>8</v>
      </c>
    </row>
    <row r="2" spans="1:14" ht="16.5" thickBot="1" x14ac:dyDescent="0.3">
      <c r="A2" s="4">
        <v>1</v>
      </c>
      <c r="B2" s="7" t="s">
        <v>84</v>
      </c>
      <c r="C2" t="s">
        <v>4</v>
      </c>
      <c r="D2" s="2">
        <v>3</v>
      </c>
      <c r="E2" s="5">
        <v>0</v>
      </c>
      <c r="F2" s="5">
        <v>0</v>
      </c>
      <c r="G2" s="6">
        <v>0</v>
      </c>
      <c r="H2" s="5">
        <v>0</v>
      </c>
      <c r="I2" s="5">
        <v>0</v>
      </c>
      <c r="J2" s="5">
        <v>175</v>
      </c>
      <c r="K2" s="57">
        <f>SUM(Table1481117362[[#This Row],[Connacht Open 2021]:[Irish Close 19-20]])</f>
        <v>175</v>
      </c>
      <c r="L2">
        <f>IFERROR(SUM(LARGE(Table1481117362[[#This Row],[Connacht Open 2021]:[Irish Close 19-20]],{1,2,3})),0)</f>
        <v>175</v>
      </c>
      <c r="M2">
        <f>IFERROR(SUM(LARGE(Table1481117362[[#This Row],[Connacht Open 2021]:[Irish Close 19-20]],{1,2})/2*3),0)</f>
        <v>262.5</v>
      </c>
      <c r="N2">
        <f t="shared" ref="N2:N4" si="0">IF(D2=3,L2,M2)</f>
        <v>175</v>
      </c>
    </row>
    <row r="3" spans="1:14" ht="16.5" thickBot="1" x14ac:dyDescent="0.3">
      <c r="A3" s="4">
        <v>2</v>
      </c>
      <c r="B3" s="8" t="s">
        <v>182</v>
      </c>
      <c r="C3" t="s">
        <v>4</v>
      </c>
      <c r="D3" s="2">
        <v>3</v>
      </c>
      <c r="E3" s="5">
        <v>0</v>
      </c>
      <c r="F3" s="5">
        <v>0</v>
      </c>
      <c r="G3" s="6">
        <v>0</v>
      </c>
      <c r="H3" s="5">
        <v>0</v>
      </c>
      <c r="I3" s="5">
        <v>0</v>
      </c>
      <c r="J3" s="5">
        <v>125</v>
      </c>
      <c r="K3" s="57">
        <f>SUM(Table1481117362[[#This Row],[Connacht Open 2021]:[Irish Close 19-20]])</f>
        <v>125</v>
      </c>
      <c r="L3">
        <f>IFERROR(SUM(LARGE(Table1481117362[[#This Row],[Connacht Open 2021]:[Irish Close 19-20]],{1,2,3})),0)</f>
        <v>125</v>
      </c>
      <c r="M3">
        <f>IFERROR(SUM(LARGE(Table1481117362[[#This Row],[Connacht Open 2021]:[Irish Close 19-20]],{1,2})/2*3),0)</f>
        <v>187.5</v>
      </c>
      <c r="N3">
        <f t="shared" si="0"/>
        <v>125</v>
      </c>
    </row>
    <row r="4" spans="1:14" ht="16.5" thickBot="1" x14ac:dyDescent="0.3">
      <c r="A4" s="4">
        <v>3</v>
      </c>
      <c r="B4" s="9" t="s">
        <v>85</v>
      </c>
      <c r="C4" t="s">
        <v>4</v>
      </c>
      <c r="D4" s="2">
        <v>3</v>
      </c>
      <c r="E4" s="5">
        <v>0</v>
      </c>
      <c r="F4" s="5">
        <v>35</v>
      </c>
      <c r="G4" s="6">
        <v>0</v>
      </c>
      <c r="H4" s="5">
        <v>0</v>
      </c>
      <c r="I4" s="5">
        <v>0</v>
      </c>
      <c r="J4" s="5">
        <v>50</v>
      </c>
      <c r="K4" s="57">
        <f>SUM(Table1481117362[[#This Row],[Connacht Open 2021]:[Irish Close 19-20]])</f>
        <v>85</v>
      </c>
      <c r="L4">
        <f>IFERROR(SUM(LARGE(Table1481117362[[#This Row],[Connacht Open 2021]:[Irish Close 19-20]],{1,2,3})),0)</f>
        <v>85</v>
      </c>
      <c r="M4">
        <f>IFERROR(SUM(LARGE(Table1481117362[[#This Row],[Connacht Open 2021]:[Irish Close 19-20]],{1,2})/2*3),0)</f>
        <v>127.5</v>
      </c>
      <c r="N4">
        <f t="shared" si="0"/>
        <v>85</v>
      </c>
    </row>
    <row r="5" spans="1:14" ht="15.75" x14ac:dyDescent="0.25">
      <c r="B5" s="26"/>
      <c r="C5" s="32"/>
      <c r="D5" s="23"/>
      <c r="E5" s="32"/>
      <c r="F5" s="22"/>
      <c r="G5" s="22"/>
      <c r="H5" s="29"/>
      <c r="I5" s="22">
        <v>0</v>
      </c>
      <c r="J5" s="22"/>
    </row>
    <row r="6" spans="1:14" x14ac:dyDescent="0.25">
      <c r="B6" s="12" t="s">
        <v>118</v>
      </c>
      <c r="C6" s="11" t="s">
        <v>119</v>
      </c>
      <c r="D6" s="13"/>
      <c r="E6" s="11"/>
      <c r="F6" s="11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16" sqref="A16"/>
    </sheetView>
  </sheetViews>
  <sheetFormatPr defaultRowHeight="15" x14ac:dyDescent="0.25"/>
  <sheetData>
    <row r="1" spans="1:4" ht="16.5" thickTop="1" thickBot="1" x14ac:dyDescent="0.3">
      <c r="A1" s="14" t="s">
        <v>125</v>
      </c>
      <c r="B1" s="15" t="s">
        <v>126</v>
      </c>
      <c r="C1" s="15" t="s">
        <v>125</v>
      </c>
      <c r="D1" s="15" t="s">
        <v>126</v>
      </c>
    </row>
    <row r="2" spans="1:4" ht="16.5" thickTop="1" thickBot="1" x14ac:dyDescent="0.3">
      <c r="A2" s="16" t="s">
        <v>127</v>
      </c>
      <c r="B2" s="17">
        <v>140</v>
      </c>
      <c r="C2" s="17" t="s">
        <v>135</v>
      </c>
      <c r="D2" s="17">
        <v>20</v>
      </c>
    </row>
    <row r="3" spans="1:4" ht="31.5" thickTop="1" thickBot="1" x14ac:dyDescent="0.3">
      <c r="A3" s="16" t="s">
        <v>128</v>
      </c>
      <c r="B3" s="17">
        <v>100</v>
      </c>
      <c r="C3" s="17" t="s">
        <v>136</v>
      </c>
      <c r="D3" s="17">
        <v>15</v>
      </c>
    </row>
    <row r="4" spans="1:4" ht="16.5" thickTop="1" thickBot="1" x14ac:dyDescent="0.3">
      <c r="A4" s="16" t="s">
        <v>129</v>
      </c>
      <c r="B4" s="17">
        <v>70</v>
      </c>
      <c r="C4" s="17" t="s">
        <v>137</v>
      </c>
      <c r="D4" s="17">
        <v>10</v>
      </c>
    </row>
    <row r="5" spans="1:4" ht="16.5" thickTop="1" thickBot="1" x14ac:dyDescent="0.3">
      <c r="A5" s="16" t="s">
        <v>130</v>
      </c>
      <c r="B5" s="17">
        <v>50</v>
      </c>
      <c r="C5" s="17" t="s">
        <v>138</v>
      </c>
      <c r="D5" s="17">
        <v>10</v>
      </c>
    </row>
    <row r="6" spans="1:4" ht="16.5" thickTop="1" thickBot="1" x14ac:dyDescent="0.3">
      <c r="A6" s="16" t="s">
        <v>131</v>
      </c>
      <c r="B6" s="17">
        <v>40</v>
      </c>
      <c r="C6" s="17" t="s">
        <v>139</v>
      </c>
      <c r="D6" s="17">
        <v>5</v>
      </c>
    </row>
    <row r="7" spans="1:4" ht="16.5" thickTop="1" thickBot="1" x14ac:dyDescent="0.3">
      <c r="A7" s="16" t="s">
        <v>132</v>
      </c>
      <c r="B7" s="17">
        <v>35</v>
      </c>
      <c r="C7" s="17" t="s">
        <v>140</v>
      </c>
      <c r="D7" s="17">
        <v>5</v>
      </c>
    </row>
    <row r="8" spans="1:4" ht="16.5" thickTop="1" thickBot="1" x14ac:dyDescent="0.3">
      <c r="A8" s="16" t="s">
        <v>133</v>
      </c>
      <c r="B8" s="17">
        <v>30</v>
      </c>
      <c r="C8" s="17" t="s">
        <v>141</v>
      </c>
      <c r="D8" s="17">
        <v>5</v>
      </c>
    </row>
    <row r="9" spans="1:4" ht="16.5" thickTop="1" thickBot="1" x14ac:dyDescent="0.3">
      <c r="A9" s="16" t="s">
        <v>134</v>
      </c>
      <c r="B9" s="17">
        <v>25</v>
      </c>
      <c r="C9" s="17" t="s">
        <v>142</v>
      </c>
      <c r="D9" s="17">
        <v>5</v>
      </c>
    </row>
    <row r="10" spans="1:4" ht="15.75" thickTop="1" x14ac:dyDescent="0.25"/>
    <row r="11" spans="1:4" ht="15.75" thickBot="1" x14ac:dyDescent="0.3">
      <c r="A11" s="19" t="s">
        <v>143</v>
      </c>
    </row>
    <row r="12" spans="1:4" ht="16.5" thickTop="1" thickBot="1" x14ac:dyDescent="0.3">
      <c r="A12" s="14" t="s">
        <v>125</v>
      </c>
      <c r="B12" s="15" t="s">
        <v>126</v>
      </c>
      <c r="C12" s="15" t="s">
        <v>125</v>
      </c>
      <c r="D12" s="15" t="s">
        <v>126</v>
      </c>
    </row>
    <row r="13" spans="1:4" ht="16.5" thickTop="1" thickBot="1" x14ac:dyDescent="0.3">
      <c r="A13" s="16" t="s">
        <v>127</v>
      </c>
      <c r="B13" s="17">
        <v>175</v>
      </c>
      <c r="C13" s="17" t="s">
        <v>135</v>
      </c>
      <c r="D13" s="17">
        <v>30</v>
      </c>
    </row>
    <row r="14" spans="1:4" ht="31.5" thickTop="1" thickBot="1" x14ac:dyDescent="0.3">
      <c r="A14" s="16" t="s">
        <v>128</v>
      </c>
      <c r="B14" s="17">
        <v>125</v>
      </c>
      <c r="C14" s="17" t="s">
        <v>136</v>
      </c>
      <c r="D14" s="17">
        <v>25</v>
      </c>
    </row>
    <row r="15" spans="1:4" ht="16.5" thickTop="1" thickBot="1" x14ac:dyDescent="0.3">
      <c r="A15" s="16" t="s">
        <v>129</v>
      </c>
      <c r="B15" s="17">
        <v>90</v>
      </c>
      <c r="C15" s="17" t="s">
        <v>137</v>
      </c>
      <c r="D15" s="17">
        <v>20</v>
      </c>
    </row>
    <row r="16" spans="1:4" ht="16.5" thickTop="1" thickBot="1" x14ac:dyDescent="0.3">
      <c r="A16" s="16" t="s">
        <v>130</v>
      </c>
      <c r="B16" s="17">
        <v>65</v>
      </c>
      <c r="C16" s="17" t="s">
        <v>138</v>
      </c>
      <c r="D16" s="17">
        <v>20</v>
      </c>
    </row>
    <row r="17" spans="1:4" ht="16.5" thickTop="1" thickBot="1" x14ac:dyDescent="0.3">
      <c r="A17" s="16" t="s">
        <v>131</v>
      </c>
      <c r="B17" s="17">
        <v>50</v>
      </c>
      <c r="C17" s="17" t="s">
        <v>139</v>
      </c>
      <c r="D17" s="17">
        <v>15</v>
      </c>
    </row>
    <row r="18" spans="1:4" ht="16.5" thickTop="1" thickBot="1" x14ac:dyDescent="0.3">
      <c r="A18" s="16" t="s">
        <v>132</v>
      </c>
      <c r="B18" s="18">
        <v>45</v>
      </c>
      <c r="C18" s="17" t="s">
        <v>140</v>
      </c>
      <c r="D18" s="17">
        <v>15</v>
      </c>
    </row>
    <row r="19" spans="1:4" ht="16.5" thickTop="1" thickBot="1" x14ac:dyDescent="0.3">
      <c r="A19" s="16" t="s">
        <v>133</v>
      </c>
      <c r="B19" s="18">
        <v>40</v>
      </c>
      <c r="C19" s="17" t="s">
        <v>141</v>
      </c>
      <c r="D19" s="17">
        <v>15</v>
      </c>
    </row>
    <row r="20" spans="1:4" ht="16.5" thickTop="1" thickBot="1" x14ac:dyDescent="0.3">
      <c r="A20" s="16" t="s">
        <v>134</v>
      </c>
      <c r="B20" s="18">
        <v>35</v>
      </c>
      <c r="C20" s="17" t="s">
        <v>142</v>
      </c>
      <c r="D20" s="17">
        <v>15</v>
      </c>
    </row>
    <row r="21" spans="1:4" ht="16.5" thickTop="1" thickBot="1" x14ac:dyDescent="0.3">
      <c r="A21" s="16"/>
    </row>
    <row r="22" spans="1:4" ht="15.75" thickTop="1" x14ac:dyDescent="0.25"/>
  </sheetData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60" zoomScaleNormal="60" workbookViewId="0">
      <selection activeCell="H1" sqref="H1"/>
    </sheetView>
  </sheetViews>
  <sheetFormatPr defaultColWidth="8.7109375" defaultRowHeight="18.75" x14ac:dyDescent="0.3"/>
  <cols>
    <col min="1" max="1" width="8.7109375" style="32"/>
    <col min="2" max="2" width="23" style="38" customWidth="1"/>
    <col min="3" max="3" width="17.28515625" style="32" bestFit="1" customWidth="1"/>
    <col min="4" max="4" width="12.85546875" style="23" bestFit="1" customWidth="1"/>
    <col min="5" max="5" width="25" style="32" bestFit="1" customWidth="1"/>
    <col min="6" max="6" width="26" style="32" bestFit="1" customWidth="1"/>
    <col min="7" max="7" width="25" style="32" bestFit="1" customWidth="1"/>
    <col min="8" max="8" width="23.140625" style="32" customWidth="1"/>
    <col min="9" max="9" width="21.5703125" style="32" bestFit="1" customWidth="1"/>
    <col min="10" max="10" width="17.28515625" style="77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6384" width="8.7109375" style="32"/>
  </cols>
  <sheetData>
    <row r="1" spans="1:13" s="29" customFormat="1" ht="65.25" customHeight="1" x14ac:dyDescent="0.25">
      <c r="A1" s="62" t="s">
        <v>18</v>
      </c>
      <c r="B1" s="26" t="s">
        <v>0</v>
      </c>
      <c r="C1" s="29" t="s">
        <v>2</v>
      </c>
      <c r="D1" s="29" t="s">
        <v>1</v>
      </c>
      <c r="E1" s="29" t="s">
        <v>205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26" t="s">
        <v>25</v>
      </c>
      <c r="C2" s="32" t="s">
        <v>4</v>
      </c>
      <c r="D2" s="23">
        <v>3</v>
      </c>
      <c r="E2" s="23">
        <v>50</v>
      </c>
      <c r="F2" s="22">
        <v>70</v>
      </c>
      <c r="G2" s="22">
        <v>70</v>
      </c>
      <c r="H2" s="22">
        <v>140</v>
      </c>
      <c r="I2" s="22">
        <v>175</v>
      </c>
      <c r="J2" s="77">
        <f>SUM(Table148[[#This Row],[Connacht Open]:[Irish Close 19-20]])</f>
        <v>505</v>
      </c>
      <c r="K2" s="32">
        <f>IFERROR(SUM(LARGE(Table148[[#This Row],[Connacht Open]:[Irish Close 19-20]],{1,2,3})),0)</f>
        <v>385</v>
      </c>
      <c r="L2" s="32">
        <f>IFERROR(SUM(LARGE(Table148[[#This Row],[Connacht Open]:[Irish Close 19-20]],{1,2})/2*3),0)</f>
        <v>472.5</v>
      </c>
      <c r="M2" s="32">
        <f t="shared" ref="M2:M20" si="0">IF(D2=3,K2,L2)</f>
        <v>385</v>
      </c>
    </row>
    <row r="3" spans="1:13" x14ac:dyDescent="0.3">
      <c r="A3" s="30">
        <v>2</v>
      </c>
      <c r="B3" s="31" t="s">
        <v>111</v>
      </c>
      <c r="C3" s="32" t="s">
        <v>4</v>
      </c>
      <c r="D3" s="23">
        <v>3</v>
      </c>
      <c r="E3" s="23">
        <v>140</v>
      </c>
      <c r="F3" s="22">
        <v>100</v>
      </c>
      <c r="G3" s="22">
        <v>100</v>
      </c>
      <c r="H3" s="22">
        <v>70</v>
      </c>
      <c r="I3" s="35">
        <v>90</v>
      </c>
      <c r="J3" s="77">
        <f>SUM(Table148[[#This Row],[Connacht Open]:[Irish Close 19-20]])</f>
        <v>500</v>
      </c>
      <c r="K3" s="32">
        <f>IFERROR(SUM(LARGE(Table148[[#This Row],[Connacht Open]:[Irish Close 19-20]],{1,2,3})),0)</f>
        <v>340</v>
      </c>
      <c r="L3" s="32">
        <f>IFERROR(SUM(LARGE(Table148[[#This Row],[Connacht Open]:[Irish Close 19-20]],{1,2})/2*3),0)</f>
        <v>360</v>
      </c>
      <c r="M3" s="32">
        <f t="shared" si="0"/>
        <v>340</v>
      </c>
    </row>
    <row r="4" spans="1:13" x14ac:dyDescent="0.3">
      <c r="A4" s="30">
        <v>3</v>
      </c>
      <c r="B4" s="26" t="s">
        <v>29</v>
      </c>
      <c r="C4" s="32" t="s">
        <v>4</v>
      </c>
      <c r="D4" s="23">
        <v>3</v>
      </c>
      <c r="F4" s="22">
        <v>140</v>
      </c>
      <c r="G4" s="22">
        <v>100</v>
      </c>
      <c r="H4" s="22">
        <v>0</v>
      </c>
      <c r="I4" s="22">
        <v>90</v>
      </c>
      <c r="J4" s="77">
        <f>SUM(Table148[[#This Row],[Connacht Open]:[Irish Close 19-20]])</f>
        <v>330</v>
      </c>
      <c r="K4" s="32">
        <f>IFERROR(SUM(LARGE(Table148[[#This Row],[Connacht Open]:[Irish Close 19-20]],{1,2,3})),0)</f>
        <v>330</v>
      </c>
      <c r="L4" s="32">
        <f>IFERROR(SUM(LARGE(Table148[[#This Row],[Connacht Open]:[Irish Close 19-20]],{1,2})/2*3),0)</f>
        <v>360</v>
      </c>
      <c r="M4" s="32">
        <f t="shared" si="0"/>
        <v>330</v>
      </c>
    </row>
    <row r="5" spans="1:13" x14ac:dyDescent="0.3">
      <c r="A5" s="30">
        <v>4</v>
      </c>
      <c r="B5" s="26" t="s">
        <v>24</v>
      </c>
      <c r="C5" s="32" t="s">
        <v>4</v>
      </c>
      <c r="D5" s="23">
        <v>3</v>
      </c>
      <c r="E5" s="23">
        <v>40</v>
      </c>
      <c r="F5" s="22">
        <v>100</v>
      </c>
      <c r="G5" s="22">
        <v>0</v>
      </c>
      <c r="H5" s="22">
        <v>100</v>
      </c>
      <c r="I5" s="22">
        <v>50</v>
      </c>
      <c r="J5" s="77">
        <f>SUM(Table148[[#This Row],[Connacht Open]:[Irish Close 19-20]])</f>
        <v>290</v>
      </c>
      <c r="K5" s="32">
        <f>IFERROR(SUM(LARGE(Table148[[#This Row],[Connacht Open]:[Irish Close 19-20]],{1,2,3})),0)</f>
        <v>250</v>
      </c>
      <c r="L5" s="32">
        <f>IFERROR(SUM(LARGE(Table148[[#This Row],[Connacht Open]:[Irish Close 19-20]],{1,2})/2*3),0)</f>
        <v>300</v>
      </c>
      <c r="M5" s="32">
        <f t="shared" si="0"/>
        <v>250</v>
      </c>
    </row>
    <row r="6" spans="1:13" x14ac:dyDescent="0.3">
      <c r="A6" s="30">
        <v>5</v>
      </c>
      <c r="B6" s="26" t="s">
        <v>91</v>
      </c>
      <c r="C6" s="32" t="s">
        <v>4</v>
      </c>
      <c r="D6" s="23">
        <v>3</v>
      </c>
      <c r="E6" s="23">
        <v>100</v>
      </c>
      <c r="F6" s="22">
        <v>50</v>
      </c>
      <c r="G6" s="22">
        <v>0</v>
      </c>
      <c r="H6" s="22">
        <v>50</v>
      </c>
      <c r="I6" s="22">
        <v>65</v>
      </c>
      <c r="J6" s="77">
        <f>SUM(Table148[[#This Row],[Connacht Open]:[Irish Close 19-20]])</f>
        <v>265</v>
      </c>
      <c r="K6" s="32">
        <f>IFERROR(SUM(LARGE(Table148[[#This Row],[Connacht Open]:[Irish Close 19-20]],{1,2,3})),0)</f>
        <v>215</v>
      </c>
      <c r="L6" s="32">
        <f>IFERROR(SUM(LARGE(Table148[[#This Row],[Connacht Open]:[Irish Close 19-20]],{1,2})/2*3),0)</f>
        <v>247.5</v>
      </c>
      <c r="M6" s="32">
        <f t="shared" si="0"/>
        <v>215</v>
      </c>
    </row>
    <row r="7" spans="1:13" x14ac:dyDescent="0.3">
      <c r="A7" s="30">
        <v>6</v>
      </c>
      <c r="B7" s="31" t="s">
        <v>20</v>
      </c>
      <c r="C7" s="32" t="s">
        <v>4</v>
      </c>
      <c r="D7" s="23">
        <v>3</v>
      </c>
      <c r="E7" s="23">
        <v>70</v>
      </c>
      <c r="F7" s="22">
        <v>140</v>
      </c>
      <c r="G7" s="22">
        <v>0</v>
      </c>
      <c r="H7" s="22">
        <v>0</v>
      </c>
      <c r="I7" s="37">
        <v>0</v>
      </c>
      <c r="J7" s="77">
        <f>SUM(Table148[[#This Row],[Connacht Open]:[Irish Close 19-20]])</f>
        <v>210</v>
      </c>
      <c r="K7" s="32">
        <f>IFERROR(SUM(LARGE(Table148[[#This Row],[Connacht Open]:[Irish Close 19-20]],{1,2,3})),0)</f>
        <v>210</v>
      </c>
      <c r="L7" s="32">
        <f>IFERROR(SUM(LARGE(Table148[[#This Row],[Connacht Open]:[Irish Close 19-20]],{1,2})/2*3),0)</f>
        <v>315</v>
      </c>
      <c r="M7" s="32">
        <f t="shared" si="0"/>
        <v>210</v>
      </c>
    </row>
    <row r="8" spans="1:13" x14ac:dyDescent="0.3">
      <c r="A8" s="30">
        <v>7</v>
      </c>
      <c r="B8" s="31" t="s">
        <v>19</v>
      </c>
      <c r="C8" s="32" t="s">
        <v>4</v>
      </c>
      <c r="D8" s="23">
        <v>3</v>
      </c>
      <c r="F8" s="22">
        <v>0</v>
      </c>
      <c r="G8" s="22">
        <v>140</v>
      </c>
      <c r="H8" s="22">
        <v>0</v>
      </c>
      <c r="I8" s="22">
        <v>0</v>
      </c>
      <c r="J8" s="77">
        <f>SUM(Table148[[#This Row],[Connacht Open]:[Irish Close 19-20]])</f>
        <v>140</v>
      </c>
      <c r="K8" s="32">
        <f>IFERROR(SUM(LARGE(Table148[[#This Row],[Connacht Open]:[Irish Close 19-20]],{1,2,3})),0)</f>
        <v>140</v>
      </c>
      <c r="L8" s="32">
        <f>IFERROR(SUM(LARGE(Table148[[#This Row],[Connacht Open]:[Irish Close 19-20]],{1,2})/2*3),0)</f>
        <v>210</v>
      </c>
      <c r="M8" s="32">
        <f t="shared" si="0"/>
        <v>140</v>
      </c>
    </row>
    <row r="9" spans="1:13" x14ac:dyDescent="0.3">
      <c r="A9" s="30">
        <v>8</v>
      </c>
      <c r="B9" s="26" t="s">
        <v>90</v>
      </c>
      <c r="C9" s="32" t="s">
        <v>4</v>
      </c>
      <c r="D9" s="23">
        <v>3</v>
      </c>
      <c r="E9" s="23">
        <v>30</v>
      </c>
      <c r="F9" s="22">
        <v>30</v>
      </c>
      <c r="G9" s="22">
        <v>0</v>
      </c>
      <c r="H9" s="22">
        <v>40</v>
      </c>
      <c r="I9" s="37">
        <v>40</v>
      </c>
      <c r="J9" s="77">
        <f>SUM(Table148[[#This Row],[Connacht Open]:[Irish Close 19-20]])</f>
        <v>140</v>
      </c>
      <c r="K9" s="32">
        <f>IFERROR(SUM(LARGE(Table148[[#This Row],[Connacht Open]:[Irish Close 19-20]],{1,2,3})),0)</f>
        <v>110</v>
      </c>
      <c r="L9" s="32">
        <f>IFERROR(SUM(LARGE(Table148[[#This Row],[Connacht Open]:[Irish Close 19-20]],{1,2})/2*3),0)</f>
        <v>120</v>
      </c>
      <c r="M9" s="32">
        <f t="shared" si="0"/>
        <v>110</v>
      </c>
    </row>
    <row r="10" spans="1:13" x14ac:dyDescent="0.3">
      <c r="A10" s="30">
        <v>9</v>
      </c>
      <c r="B10" s="26" t="s">
        <v>34</v>
      </c>
      <c r="C10" s="32" t="s">
        <v>4</v>
      </c>
      <c r="D10" s="23">
        <v>3</v>
      </c>
      <c r="F10" s="22"/>
      <c r="G10" s="22">
        <v>0</v>
      </c>
      <c r="H10" s="22">
        <v>0</v>
      </c>
      <c r="I10" s="22">
        <v>125</v>
      </c>
      <c r="J10" s="77">
        <f>SUM(Table148[[#This Row],[Connacht Open]:[Irish Close 19-20]])</f>
        <v>125</v>
      </c>
      <c r="K10" s="32">
        <f>IFERROR(SUM(LARGE(Table148[[#This Row],[Connacht Open]:[Irish Close 19-20]],{1,2,3})),0)</f>
        <v>125</v>
      </c>
      <c r="L10" s="32">
        <f>IFERROR(SUM(LARGE(Table148[[#This Row],[Connacht Open]:[Irish Close 19-20]],{1,2})/2*3),0)</f>
        <v>187.5</v>
      </c>
      <c r="M10" s="32">
        <f t="shared" si="0"/>
        <v>125</v>
      </c>
    </row>
    <row r="11" spans="1:13" x14ac:dyDescent="0.3">
      <c r="A11" s="30">
        <v>10</v>
      </c>
      <c r="B11" s="38" t="s">
        <v>145</v>
      </c>
      <c r="C11" s="32" t="s">
        <v>4</v>
      </c>
      <c r="D11" s="23">
        <v>3</v>
      </c>
      <c r="F11" s="22">
        <v>0</v>
      </c>
      <c r="G11" s="22">
        <v>50</v>
      </c>
      <c r="H11" s="22">
        <v>0</v>
      </c>
      <c r="I11" s="22">
        <v>35</v>
      </c>
      <c r="J11" s="77">
        <f>SUM(Table148[[#This Row],[Connacht Open]:[Irish Close 19-20]])</f>
        <v>85</v>
      </c>
      <c r="K11" s="32">
        <f>IFERROR(SUM(LARGE(Table148[[#This Row],[Connacht Open]:[Irish Close 19-20]],{1,2,3})),0)</f>
        <v>85</v>
      </c>
      <c r="L11" s="32">
        <f>IFERROR(SUM(LARGE(Table148[[#This Row],[Connacht Open]:[Irish Close 19-20]],{1,2})/2*3),0)</f>
        <v>127.5</v>
      </c>
      <c r="M11" s="32">
        <f t="shared" si="0"/>
        <v>85</v>
      </c>
    </row>
    <row r="12" spans="1:13" x14ac:dyDescent="0.3">
      <c r="A12" s="30">
        <v>11</v>
      </c>
      <c r="B12" s="26" t="s">
        <v>33</v>
      </c>
      <c r="C12" s="32" t="s">
        <v>4</v>
      </c>
      <c r="D12" s="23">
        <v>3</v>
      </c>
      <c r="F12" s="22">
        <v>25</v>
      </c>
      <c r="G12" s="22">
        <v>0</v>
      </c>
      <c r="H12" s="22">
        <v>0</v>
      </c>
      <c r="I12" s="22">
        <v>45</v>
      </c>
      <c r="J12" s="77">
        <f>SUM(Table148[[#This Row],[Connacht Open]:[Irish Close 19-20]])</f>
        <v>70</v>
      </c>
      <c r="K12" s="32">
        <f>IFERROR(SUM(LARGE(Table148[[#This Row],[Connacht Open]:[Irish Close 19-20]],{1,2,3})),0)</f>
        <v>70</v>
      </c>
      <c r="L12" s="32">
        <f>IFERROR(SUM(LARGE(Table148[[#This Row],[Connacht Open]:[Irish Close 19-20]],{1,2})/2*3),0)</f>
        <v>105</v>
      </c>
      <c r="M12" s="32">
        <f t="shared" si="0"/>
        <v>70</v>
      </c>
    </row>
    <row r="13" spans="1:13" x14ac:dyDescent="0.3">
      <c r="A13" s="30">
        <v>12</v>
      </c>
      <c r="B13" s="26" t="s">
        <v>164</v>
      </c>
      <c r="C13" s="32" t="s">
        <v>4</v>
      </c>
      <c r="D13" s="23">
        <v>3</v>
      </c>
      <c r="F13" s="22"/>
      <c r="G13" s="22">
        <v>0</v>
      </c>
      <c r="H13" s="22">
        <v>0</v>
      </c>
      <c r="I13" s="22">
        <v>40</v>
      </c>
      <c r="J13" s="77">
        <f>SUM(Table148[[#This Row],[Connacht Open]:[Irish Close 19-20]])</f>
        <v>40</v>
      </c>
      <c r="K13" s="32">
        <f>IFERROR(SUM(LARGE(Table148[[#This Row],[Connacht Open]:[Irish Close 19-20]],{1,2,3})),0)</f>
        <v>40</v>
      </c>
      <c r="L13" s="32">
        <f>IFERROR(SUM(LARGE(Table148[[#This Row],[Connacht Open]:[Irish Close 19-20]],{1,2})/2*3),0)</f>
        <v>60</v>
      </c>
      <c r="M13" s="32">
        <f t="shared" si="0"/>
        <v>40</v>
      </c>
    </row>
    <row r="14" spans="1:13" x14ac:dyDescent="0.3">
      <c r="A14" s="30">
        <v>13</v>
      </c>
      <c r="B14" s="26" t="s">
        <v>115</v>
      </c>
      <c r="C14" s="32" t="s">
        <v>4</v>
      </c>
      <c r="D14" s="23">
        <v>3</v>
      </c>
      <c r="F14" s="22">
        <v>40</v>
      </c>
      <c r="G14" s="22">
        <v>0</v>
      </c>
      <c r="H14" s="22">
        <v>0</v>
      </c>
      <c r="I14" s="22">
        <v>0</v>
      </c>
      <c r="J14" s="77">
        <f>SUM(Table148[[#This Row],[Connacht Open]:[Irish Close 19-20]])</f>
        <v>40</v>
      </c>
      <c r="K14" s="32">
        <f>IFERROR(SUM(LARGE(Table148[[#This Row],[Connacht Open]:[Irish Close 19-20]],{1,2,3})),0)</f>
        <v>40</v>
      </c>
      <c r="L14" s="32">
        <f>IFERROR(SUM(LARGE(Table148[[#This Row],[Connacht Open]:[Irish Close 19-20]],{1,2})/2*3),0)</f>
        <v>60</v>
      </c>
      <c r="M14" s="32">
        <f t="shared" si="0"/>
        <v>40</v>
      </c>
    </row>
    <row r="15" spans="1:13" x14ac:dyDescent="0.3">
      <c r="A15" s="30">
        <v>14</v>
      </c>
      <c r="B15" s="26" t="s">
        <v>192</v>
      </c>
      <c r="C15" s="32" t="s">
        <v>4</v>
      </c>
      <c r="D15" s="23">
        <v>3</v>
      </c>
      <c r="E15" s="22">
        <v>35</v>
      </c>
      <c r="F15" s="22">
        <v>0</v>
      </c>
      <c r="G15" s="22">
        <v>0</v>
      </c>
      <c r="H15" s="22">
        <v>0</v>
      </c>
      <c r="I15" s="22">
        <v>0</v>
      </c>
      <c r="J15" s="77">
        <f>SUM(Table148[[#This Row],[Connacht Open]:[Irish Close 19-20]])</f>
        <v>35</v>
      </c>
      <c r="K15" s="32">
        <f>IFERROR(SUM(LARGE(Table148[[#This Row],[Connacht Open]:[Irish Close 19-20]],{1,2,3})),0)</f>
        <v>35</v>
      </c>
      <c r="L15" s="32">
        <f>IFERROR(SUM(LARGE(Table148[[#This Row],[Connacht Open]:[Irish Close 19-20]],{1,2})/2*3),0)</f>
        <v>52.5</v>
      </c>
      <c r="M15" s="32">
        <f t="shared" si="0"/>
        <v>35</v>
      </c>
    </row>
    <row r="16" spans="1:13" x14ac:dyDescent="0.3">
      <c r="A16" s="30">
        <v>15</v>
      </c>
      <c r="B16" s="26" t="s">
        <v>92</v>
      </c>
      <c r="C16" s="32" t="s">
        <v>4</v>
      </c>
      <c r="D16" s="23">
        <v>3</v>
      </c>
      <c r="F16" s="22">
        <v>35</v>
      </c>
      <c r="G16" s="22">
        <v>0</v>
      </c>
      <c r="H16" s="22">
        <v>0</v>
      </c>
      <c r="I16" s="22">
        <v>0</v>
      </c>
      <c r="J16" s="77">
        <f>SUM(Table148[[#This Row],[Connacht Open]:[Irish Close 19-20]])</f>
        <v>35</v>
      </c>
      <c r="K16" s="32">
        <f>IFERROR(SUM(LARGE(Table148[[#This Row],[Connacht Open]:[Irish Close 19-20]],{1,2,3})),0)</f>
        <v>35</v>
      </c>
      <c r="L16" s="32">
        <f>IFERROR(SUM(LARGE(Table148[[#This Row],[Connacht Open]:[Irish Close 19-20]],{1,2})/2*3),0)</f>
        <v>52.5</v>
      </c>
      <c r="M16" s="32">
        <f t="shared" si="0"/>
        <v>35</v>
      </c>
    </row>
    <row r="17" spans="1:13" x14ac:dyDescent="0.3">
      <c r="A17" s="30">
        <v>16</v>
      </c>
      <c r="B17" s="26" t="s">
        <v>155</v>
      </c>
      <c r="C17" s="32" t="s">
        <v>4</v>
      </c>
      <c r="D17" s="23">
        <v>3</v>
      </c>
      <c r="F17" s="22">
        <v>0</v>
      </c>
      <c r="G17" s="22">
        <v>35</v>
      </c>
      <c r="H17" s="22">
        <v>0</v>
      </c>
      <c r="I17" s="22">
        <v>0</v>
      </c>
      <c r="J17" s="77">
        <f>SUM(Table148[[#This Row],[Connacht Open]:[Irish Close 19-20]])</f>
        <v>35</v>
      </c>
      <c r="K17" s="32">
        <f>IFERROR(SUM(LARGE(Table148[[#This Row],[Connacht Open]:[Irish Close 19-20]],{1,2,3})),0)</f>
        <v>35</v>
      </c>
      <c r="L17" s="32">
        <f>IFERROR(SUM(LARGE(Table148[[#This Row],[Connacht Open]:[Irish Close 19-20]],{1,2})/2*3),0)</f>
        <v>52.5</v>
      </c>
      <c r="M17" s="32">
        <f t="shared" si="0"/>
        <v>35</v>
      </c>
    </row>
    <row r="18" spans="1:13" x14ac:dyDescent="0.3">
      <c r="A18" s="30">
        <v>17</v>
      </c>
      <c r="B18" s="38" t="s">
        <v>220</v>
      </c>
      <c r="C18" s="32" t="s">
        <v>4</v>
      </c>
      <c r="D18" s="23">
        <v>3</v>
      </c>
      <c r="E18" s="32">
        <v>0</v>
      </c>
      <c r="F18" s="22">
        <v>0</v>
      </c>
      <c r="G18" s="22">
        <v>0</v>
      </c>
      <c r="H18" s="22">
        <v>35</v>
      </c>
      <c r="I18" s="22">
        <v>0</v>
      </c>
      <c r="J18" s="77">
        <f>SUM(Table148[[#This Row],[Connacht Open]:[Irish Close 19-20]])</f>
        <v>35</v>
      </c>
      <c r="K18" s="32">
        <f>IFERROR(SUM(LARGE(Table148[[#This Row],[Connacht Open]:[Irish Close 19-20]],{1,2,3})),0)</f>
        <v>35</v>
      </c>
      <c r="L18" s="32">
        <f>IFERROR(SUM(LARGE(Table148[[#This Row],[Connacht Open]:[Irish Close 19-20]],{1,2})/2*3),0)</f>
        <v>52.5</v>
      </c>
      <c r="M18" s="32">
        <f t="shared" si="0"/>
        <v>35</v>
      </c>
    </row>
    <row r="19" spans="1:13" x14ac:dyDescent="0.3">
      <c r="A19" s="30">
        <v>18</v>
      </c>
      <c r="B19" s="38" t="s">
        <v>156</v>
      </c>
      <c r="C19" s="32" t="s">
        <v>4</v>
      </c>
      <c r="D19" s="23">
        <v>3</v>
      </c>
      <c r="F19" s="22">
        <v>0</v>
      </c>
      <c r="G19" s="22">
        <v>30</v>
      </c>
      <c r="H19" s="22">
        <v>0</v>
      </c>
      <c r="I19" s="22">
        <v>0</v>
      </c>
      <c r="J19" s="77">
        <f>SUM(Table148[[#This Row],[Connacht Open]:[Irish Close 19-20]])</f>
        <v>30</v>
      </c>
      <c r="K19" s="32">
        <f>IFERROR(SUM(LARGE(Table148[[#This Row],[Connacht Open]:[Irish Close 19-20]],{1,2,3})),0)</f>
        <v>30</v>
      </c>
      <c r="L19" s="32">
        <f>IFERROR(SUM(LARGE(Table148[[#This Row],[Connacht Open]:[Irish Close 19-20]],{1,2})/2*3),0)</f>
        <v>45</v>
      </c>
      <c r="M19" s="32">
        <f t="shared" si="0"/>
        <v>30</v>
      </c>
    </row>
    <row r="20" spans="1:13" x14ac:dyDescent="0.3">
      <c r="A20" s="30">
        <v>18</v>
      </c>
      <c r="B20" s="38" t="s">
        <v>157</v>
      </c>
      <c r="C20" s="32" t="s">
        <v>4</v>
      </c>
      <c r="D20" s="23">
        <v>3</v>
      </c>
      <c r="F20" s="22">
        <v>0</v>
      </c>
      <c r="G20" s="22">
        <v>25</v>
      </c>
      <c r="H20" s="22">
        <v>0</v>
      </c>
      <c r="I20" s="22">
        <v>0</v>
      </c>
      <c r="J20" s="77">
        <f>SUM(Table148[[#This Row],[Connacht Open]:[Irish Close 19-20]])</f>
        <v>25</v>
      </c>
      <c r="K20" s="32">
        <f>IFERROR(SUM(LARGE(Table148[[#This Row],[Connacht Open]:[Irish Close 19-20]],{1,2,3})),0)</f>
        <v>25</v>
      </c>
      <c r="L20" s="32">
        <f>IFERROR(SUM(LARGE(Table148[[#This Row],[Connacht Open]:[Irish Close 19-20]],{1,2})/2*3),0)</f>
        <v>37.5</v>
      </c>
      <c r="M20" s="32">
        <f t="shared" si="0"/>
        <v>25</v>
      </c>
    </row>
    <row r="21" spans="1:13" x14ac:dyDescent="0.3">
      <c r="A21" s="30">
        <v>19</v>
      </c>
      <c r="J21" s="77">
        <f>SUM(Table148[[#This Row],[Connacht Open]:[Irish Close 19-20]])</f>
        <v>0</v>
      </c>
      <c r="K21" s="32">
        <f>IFERROR(SUM(LARGE(Table148[[#This Row],[Connacht Open]:[Irish Close 19-20]],{1,2,3})),0)</f>
        <v>0</v>
      </c>
      <c r="L21" s="32">
        <f>IFERROR(SUM(LARGE(Table148[[#This Row],[Connacht Open]:[Irish Close 19-20]],{1,2})/2*3),0)</f>
        <v>0</v>
      </c>
    </row>
    <row r="22" spans="1:13" x14ac:dyDescent="0.3">
      <c r="A22" s="30">
        <v>20</v>
      </c>
      <c r="B22" s="26"/>
      <c r="E22" s="22"/>
      <c r="F22" s="22"/>
      <c r="G22" s="22"/>
      <c r="H22" s="22"/>
      <c r="I22" s="22"/>
      <c r="J22" s="77">
        <f>SUM(Table148[[#This Row],[Connacht Open]:[Irish Close 19-20]])</f>
        <v>0</v>
      </c>
      <c r="K22" s="32">
        <f>IFERROR(SUM(LARGE(Table148[[#This Row],[Connacht Open]:[Irish Close 19-20]],{1,2,3})),0)</f>
        <v>0</v>
      </c>
      <c r="L22" s="32">
        <f>IFERROR(SUM(LARGE(Table148[[#This Row],[Connacht Open]:[Irish Close 19-20]],{1,2})/2*3),0)</f>
        <v>0</v>
      </c>
      <c r="M22" s="32">
        <f>IF(D22=3,K22,L22)</f>
        <v>0</v>
      </c>
    </row>
    <row r="23" spans="1:13" x14ac:dyDescent="0.3">
      <c r="A23" s="30"/>
      <c r="B23" s="26"/>
      <c r="E23" s="22"/>
      <c r="F23" s="22"/>
      <c r="G23" s="22"/>
      <c r="H23" s="22"/>
      <c r="I23" s="22"/>
    </row>
    <row r="25" spans="1:13" x14ac:dyDescent="0.3">
      <c r="B25" s="43" t="s">
        <v>118</v>
      </c>
      <c r="C25" s="34" t="s">
        <v>119</v>
      </c>
      <c r="D25" s="35"/>
      <c r="E25" s="34"/>
      <c r="F25" s="34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60" zoomScaleNormal="60" workbookViewId="0">
      <selection activeCell="H1" sqref="H1"/>
    </sheetView>
  </sheetViews>
  <sheetFormatPr defaultColWidth="8.7109375" defaultRowHeight="18.75" x14ac:dyDescent="0.3"/>
  <cols>
    <col min="1" max="1" width="8.7109375" style="32"/>
    <col min="2" max="2" width="23" style="38" customWidth="1"/>
    <col min="3" max="3" width="17.28515625" style="32" bestFit="1" customWidth="1"/>
    <col min="4" max="4" width="12.85546875" style="23" bestFit="1" customWidth="1"/>
    <col min="5" max="5" width="25" style="32" bestFit="1" customWidth="1"/>
    <col min="6" max="6" width="20.5703125" style="32" customWidth="1"/>
    <col min="7" max="7" width="25" style="32" bestFit="1" customWidth="1"/>
    <col min="8" max="8" width="25.5703125" style="32" bestFit="1" customWidth="1"/>
    <col min="9" max="9" width="21.5703125" style="32" bestFit="1" customWidth="1"/>
    <col min="10" max="10" width="17.28515625" style="77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6384" width="8.7109375" style="32"/>
  </cols>
  <sheetData>
    <row r="1" spans="1:13" s="29" customFormat="1" ht="42.75" customHeight="1" x14ac:dyDescent="0.25">
      <c r="A1" s="28" t="s">
        <v>18</v>
      </c>
      <c r="B1" s="26" t="s">
        <v>0</v>
      </c>
      <c r="C1" s="29" t="s">
        <v>2</v>
      </c>
      <c r="D1" s="29" t="s">
        <v>1</v>
      </c>
      <c r="E1" s="29" t="s">
        <v>205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26" t="s">
        <v>88</v>
      </c>
      <c r="C2" s="32" t="s">
        <v>4</v>
      </c>
      <c r="D2" s="23">
        <v>3</v>
      </c>
      <c r="E2" s="23">
        <v>140</v>
      </c>
      <c r="F2" s="22">
        <v>0</v>
      </c>
      <c r="G2" s="22">
        <v>140</v>
      </c>
      <c r="H2" s="22">
        <v>100</v>
      </c>
      <c r="I2" s="22">
        <v>0</v>
      </c>
      <c r="J2" s="77">
        <f>SUM(Table14811[[#This Row],[Connacht Open]:[Irish Close 19-20]])</f>
        <v>380</v>
      </c>
      <c r="K2" s="32">
        <f>IFERROR(SUM(LARGE(Table14811[[#This Row],[Connacht Open]:[Irish Close 19-20]],{1,2,3})),0)</f>
        <v>380</v>
      </c>
      <c r="L2" s="32">
        <f>IFERROR(SUM(LARGE(Table14811[[#This Row],[Connacht Open]:[Irish Close 19-20]],{1,2})/2*3),0)</f>
        <v>420</v>
      </c>
      <c r="M2" s="32">
        <f t="shared" ref="M2:M20" si="0">IF(D2=3,K2,L2)</f>
        <v>380</v>
      </c>
    </row>
    <row r="3" spans="1:13" x14ac:dyDescent="0.3">
      <c r="A3" s="30">
        <v>2</v>
      </c>
      <c r="B3" s="26" t="s">
        <v>43</v>
      </c>
      <c r="C3" s="32" t="s">
        <v>4</v>
      </c>
      <c r="D3" s="23">
        <v>3</v>
      </c>
      <c r="F3" s="22">
        <v>140</v>
      </c>
      <c r="G3" s="22">
        <v>100</v>
      </c>
      <c r="H3" s="22">
        <v>0</v>
      </c>
      <c r="I3" s="22">
        <v>90</v>
      </c>
      <c r="J3" s="77">
        <f>SUM(Table14811[[#This Row],[Connacht Open]:[Irish Close 19-20]])</f>
        <v>330</v>
      </c>
      <c r="K3" s="32">
        <f>IFERROR(SUM(LARGE(Table14811[[#This Row],[Connacht Open]:[Irish Close 19-20]],{1,2,3})),0)</f>
        <v>330</v>
      </c>
      <c r="L3" s="32">
        <f>IFERROR(SUM(LARGE(Table14811[[#This Row],[Connacht Open]:[Irish Close 19-20]],{1,2})/2*3),0)</f>
        <v>360</v>
      </c>
      <c r="M3" s="32">
        <f t="shared" si="0"/>
        <v>330</v>
      </c>
    </row>
    <row r="4" spans="1:13" x14ac:dyDescent="0.3">
      <c r="A4" s="30">
        <v>3</v>
      </c>
      <c r="B4" s="38" t="s">
        <v>163</v>
      </c>
      <c r="C4" s="32" t="s">
        <v>4</v>
      </c>
      <c r="D4" s="23">
        <v>3</v>
      </c>
      <c r="F4" s="22">
        <v>0</v>
      </c>
      <c r="G4" s="22">
        <v>0</v>
      </c>
      <c r="H4" s="22">
        <v>140</v>
      </c>
      <c r="I4" s="22">
        <v>175</v>
      </c>
      <c r="J4" s="77">
        <f>SUM(Table14811[[#This Row],[Connacht Open]:[Irish Close 19-20]])</f>
        <v>315</v>
      </c>
      <c r="K4" s="32">
        <f>IFERROR(SUM(LARGE(Table14811[[#This Row],[Connacht Open]:[Irish Close 19-20]],{1,2,3})),0)</f>
        <v>315</v>
      </c>
      <c r="L4" s="32">
        <f>IFERROR(SUM(LARGE(Table14811[[#This Row],[Connacht Open]:[Irish Close 19-20]],{1,2})/2*3),0)</f>
        <v>472.5</v>
      </c>
      <c r="M4" s="32">
        <f t="shared" si="0"/>
        <v>315</v>
      </c>
    </row>
    <row r="5" spans="1:13" x14ac:dyDescent="0.3">
      <c r="A5" s="30">
        <v>4</v>
      </c>
      <c r="B5" s="26" t="s">
        <v>186</v>
      </c>
      <c r="C5" s="32" t="s">
        <v>4</v>
      </c>
      <c r="D5" s="23">
        <v>4</v>
      </c>
      <c r="E5" s="22">
        <v>100</v>
      </c>
      <c r="F5" s="22"/>
      <c r="G5" s="22"/>
      <c r="H5" s="22">
        <v>70</v>
      </c>
      <c r="I5" s="22"/>
      <c r="J5" s="77">
        <f>SUM(Table14811[[#This Row],[Connacht Open]:[Irish Close 19-20]])</f>
        <v>170</v>
      </c>
      <c r="K5" s="32">
        <f>IFERROR(SUM(LARGE(Table14811[[#This Row],[Connacht Open]:[Irish Close 19-20]],{1,2,3})),0)</f>
        <v>0</v>
      </c>
      <c r="L5" s="32">
        <f>IFERROR(SUM(LARGE(Table14811[[#This Row],[Connacht Open]:[Irish Close 19-20]],{1,2})/2*3),0)</f>
        <v>255</v>
      </c>
      <c r="M5" s="32">
        <f t="shared" si="0"/>
        <v>255</v>
      </c>
    </row>
    <row r="6" spans="1:13" x14ac:dyDescent="0.3">
      <c r="A6" s="30">
        <v>5</v>
      </c>
      <c r="B6" s="38" t="s">
        <v>54</v>
      </c>
      <c r="C6" s="32" t="s">
        <v>4</v>
      </c>
      <c r="D6" s="23">
        <v>3</v>
      </c>
      <c r="F6" s="22">
        <v>0</v>
      </c>
      <c r="G6" s="22">
        <v>0</v>
      </c>
      <c r="H6" s="22">
        <v>0</v>
      </c>
      <c r="I6" s="22">
        <v>125</v>
      </c>
      <c r="J6" s="77">
        <f>SUM(Table14811[[#This Row],[Connacht Open]:[Irish Close 19-20]])</f>
        <v>125</v>
      </c>
      <c r="K6" s="32">
        <f>IFERROR(SUM(LARGE(Table14811[[#This Row],[Connacht Open]:[Irish Close 19-20]],{1,2,3})),0)</f>
        <v>125</v>
      </c>
      <c r="L6" s="32">
        <f>IFERROR(SUM(LARGE(Table14811[[#This Row],[Connacht Open]:[Irish Close 19-20]],{1,2})/2*3),0)</f>
        <v>187.5</v>
      </c>
      <c r="M6" s="32">
        <f t="shared" si="0"/>
        <v>125</v>
      </c>
    </row>
    <row r="7" spans="1:13" x14ac:dyDescent="0.3">
      <c r="A7" s="30">
        <v>6</v>
      </c>
      <c r="B7" s="26" t="s">
        <v>98</v>
      </c>
      <c r="C7" s="32" t="s">
        <v>4</v>
      </c>
      <c r="D7" s="23">
        <v>3</v>
      </c>
      <c r="E7" s="23">
        <v>40</v>
      </c>
      <c r="F7" s="22">
        <v>25</v>
      </c>
      <c r="G7" s="22">
        <v>0</v>
      </c>
      <c r="H7" s="22">
        <v>0</v>
      </c>
      <c r="I7" s="22">
        <v>50</v>
      </c>
      <c r="J7" s="77">
        <f>SUM(Table14811[[#This Row],[Connacht Open]:[Irish Close 19-20]])</f>
        <v>115</v>
      </c>
      <c r="K7" s="32">
        <f>IFERROR(SUM(LARGE(Table14811[[#This Row],[Connacht Open]:[Irish Close 19-20]],{1,2,3})),0)</f>
        <v>115</v>
      </c>
      <c r="L7" s="32">
        <f>IFERROR(SUM(LARGE(Table14811[[#This Row],[Connacht Open]:[Irish Close 19-20]],{1,2})/2*3),0)</f>
        <v>135</v>
      </c>
      <c r="M7" s="32">
        <f t="shared" si="0"/>
        <v>115</v>
      </c>
    </row>
    <row r="8" spans="1:13" x14ac:dyDescent="0.3">
      <c r="A8" s="30">
        <v>7</v>
      </c>
      <c r="B8" s="26" t="s">
        <v>44</v>
      </c>
      <c r="C8" s="32" t="s">
        <v>4</v>
      </c>
      <c r="D8" s="23">
        <v>3</v>
      </c>
      <c r="E8" s="23">
        <v>70</v>
      </c>
      <c r="F8" s="22">
        <v>30</v>
      </c>
      <c r="G8" s="22">
        <v>0</v>
      </c>
      <c r="H8" s="22">
        <v>0</v>
      </c>
      <c r="I8" s="22">
        <v>0</v>
      </c>
      <c r="J8" s="77">
        <f>SUM(Table14811[[#This Row],[Connacht Open]:[Irish Close 19-20]])</f>
        <v>100</v>
      </c>
      <c r="K8" s="32">
        <f>IFERROR(SUM(LARGE(Table14811[[#This Row],[Connacht Open]:[Irish Close 19-20]],{1,2,3})),0)</f>
        <v>100</v>
      </c>
      <c r="L8" s="32">
        <f>IFERROR(SUM(LARGE(Table14811[[#This Row],[Connacht Open]:[Irish Close 19-20]],{1,2})/2*3),0)</f>
        <v>150</v>
      </c>
      <c r="M8" s="32">
        <f t="shared" si="0"/>
        <v>100</v>
      </c>
    </row>
    <row r="9" spans="1:13" x14ac:dyDescent="0.3">
      <c r="A9" s="30">
        <v>8</v>
      </c>
      <c r="B9" s="38" t="s">
        <v>94</v>
      </c>
      <c r="C9" s="32" t="s">
        <v>4</v>
      </c>
      <c r="D9" s="23">
        <v>3</v>
      </c>
      <c r="F9" s="22">
        <v>100</v>
      </c>
      <c r="G9" s="22">
        <v>0</v>
      </c>
      <c r="H9" s="22">
        <v>0</v>
      </c>
      <c r="I9" s="22">
        <v>0</v>
      </c>
      <c r="J9" s="77">
        <f>SUM(Table14811[[#This Row],[Connacht Open]:[Irish Close 19-20]])</f>
        <v>100</v>
      </c>
      <c r="K9" s="32">
        <f>IFERROR(SUM(LARGE(Table14811[[#This Row],[Connacht Open]:[Irish Close 19-20]],{1,2,3})),0)</f>
        <v>100</v>
      </c>
      <c r="L9" s="32">
        <f>IFERROR(SUM(LARGE(Table14811[[#This Row],[Connacht Open]:[Irish Close 19-20]],{1,2})/2*3),0)</f>
        <v>150</v>
      </c>
      <c r="M9" s="32">
        <f t="shared" si="0"/>
        <v>100</v>
      </c>
    </row>
    <row r="10" spans="1:13" x14ac:dyDescent="0.3">
      <c r="A10" s="30">
        <v>9</v>
      </c>
      <c r="B10" s="38" t="s">
        <v>153</v>
      </c>
      <c r="C10" s="32" t="s">
        <v>4</v>
      </c>
      <c r="D10" s="23">
        <v>3</v>
      </c>
      <c r="E10" s="23">
        <v>50</v>
      </c>
      <c r="F10" s="22">
        <v>0</v>
      </c>
      <c r="G10" s="22">
        <v>35</v>
      </c>
      <c r="H10" s="22">
        <v>0</v>
      </c>
      <c r="I10" s="22">
        <v>0</v>
      </c>
      <c r="J10" s="77">
        <f>SUM(Table14811[[#This Row],[Connacht Open]:[Irish Close 19-20]])</f>
        <v>85</v>
      </c>
      <c r="K10" s="32">
        <f>IFERROR(SUM(LARGE(Table14811[[#This Row],[Connacht Open]:[Irish Close 19-20]],{1,2,3})),0)</f>
        <v>85</v>
      </c>
      <c r="L10" s="32">
        <f>IFERROR(SUM(LARGE(Table14811[[#This Row],[Connacht Open]:[Irish Close 19-20]],{1,2})/2*3),0)</f>
        <v>127.5</v>
      </c>
      <c r="M10" s="32">
        <f t="shared" si="0"/>
        <v>85</v>
      </c>
    </row>
    <row r="11" spans="1:13" x14ac:dyDescent="0.3">
      <c r="A11" s="30">
        <v>10</v>
      </c>
      <c r="B11" s="26" t="s">
        <v>53</v>
      </c>
      <c r="C11" s="32" t="s">
        <v>4</v>
      </c>
      <c r="D11" s="23">
        <v>3</v>
      </c>
      <c r="F11" s="22">
        <v>40</v>
      </c>
      <c r="G11" s="22">
        <v>40</v>
      </c>
      <c r="H11" s="22">
        <v>0</v>
      </c>
      <c r="I11" s="22">
        <v>0</v>
      </c>
      <c r="J11" s="77">
        <f>SUM(Table14811[[#This Row],[Connacht Open]:[Irish Close 19-20]])</f>
        <v>80</v>
      </c>
      <c r="K11" s="32">
        <f>IFERROR(SUM(LARGE(Table14811[[#This Row],[Connacht Open]:[Irish Close 19-20]],{1,2,3})),0)</f>
        <v>80</v>
      </c>
      <c r="L11" s="32">
        <f>IFERROR(SUM(LARGE(Table14811[[#This Row],[Connacht Open]:[Irish Close 19-20]],{1,2})/2*3),0)</f>
        <v>120</v>
      </c>
      <c r="M11" s="32">
        <f t="shared" si="0"/>
        <v>80</v>
      </c>
    </row>
    <row r="12" spans="1:13" x14ac:dyDescent="0.3">
      <c r="A12" s="30">
        <v>11</v>
      </c>
      <c r="B12" s="26" t="s">
        <v>97</v>
      </c>
      <c r="C12" s="32" t="s">
        <v>4</v>
      </c>
      <c r="D12" s="23">
        <v>3</v>
      </c>
      <c r="F12" s="22">
        <v>35</v>
      </c>
      <c r="G12" s="22">
        <v>0</v>
      </c>
      <c r="H12" s="22">
        <v>0</v>
      </c>
      <c r="I12" s="22">
        <v>40</v>
      </c>
      <c r="J12" s="77">
        <f>SUM(Table14811[[#This Row],[Connacht Open]:[Irish Close 19-20]])</f>
        <v>75</v>
      </c>
      <c r="K12" s="32">
        <f>IFERROR(SUM(LARGE(Table14811[[#This Row],[Connacht Open]:[Irish Close 19-20]],{1,2,3})),0)</f>
        <v>75</v>
      </c>
      <c r="L12" s="32">
        <f>IFERROR(SUM(LARGE(Table14811[[#This Row],[Connacht Open]:[Irish Close 19-20]],{1,2})/2*3),0)</f>
        <v>112.5</v>
      </c>
      <c r="M12" s="32">
        <f t="shared" si="0"/>
        <v>75</v>
      </c>
    </row>
    <row r="13" spans="1:13" x14ac:dyDescent="0.3">
      <c r="A13" s="30">
        <v>12</v>
      </c>
      <c r="B13" s="38" t="s">
        <v>152</v>
      </c>
      <c r="C13" s="32" t="s">
        <v>4</v>
      </c>
      <c r="D13" s="23">
        <v>3</v>
      </c>
      <c r="F13" s="22">
        <v>0</v>
      </c>
      <c r="G13" s="22">
        <v>70</v>
      </c>
      <c r="H13" s="22">
        <v>0</v>
      </c>
      <c r="I13" s="22">
        <v>0</v>
      </c>
      <c r="J13" s="77">
        <f>SUM(Table14811[[#This Row],[Connacht Open]:[Irish Close 19-20]])</f>
        <v>70</v>
      </c>
      <c r="K13" s="32">
        <f>IFERROR(SUM(LARGE(Table14811[[#This Row],[Connacht Open]:[Irish Close 19-20]],{1,2,3})),0)</f>
        <v>70</v>
      </c>
      <c r="L13" s="32">
        <f>IFERROR(SUM(LARGE(Table14811[[#This Row],[Connacht Open]:[Irish Close 19-20]],{1,2})/2*3),0)</f>
        <v>105</v>
      </c>
      <c r="M13" s="32">
        <f t="shared" si="0"/>
        <v>70</v>
      </c>
    </row>
    <row r="14" spans="1:13" x14ac:dyDescent="0.3">
      <c r="A14" s="30">
        <v>13</v>
      </c>
      <c r="B14" s="26" t="s">
        <v>173</v>
      </c>
      <c r="C14" s="32" t="s">
        <v>4</v>
      </c>
      <c r="D14" s="23">
        <v>3</v>
      </c>
      <c r="E14" s="23">
        <v>35</v>
      </c>
      <c r="F14" s="22">
        <v>0</v>
      </c>
      <c r="G14" s="22">
        <v>0</v>
      </c>
      <c r="H14" s="22">
        <v>0</v>
      </c>
      <c r="I14" s="22">
        <v>35</v>
      </c>
      <c r="J14" s="77">
        <f>SUM(Table14811[[#This Row],[Connacht Open]:[Irish Close 19-20]])</f>
        <v>70</v>
      </c>
      <c r="K14" s="32">
        <f>IFERROR(SUM(LARGE(Table14811[[#This Row],[Connacht Open]:[Irish Close 19-20]],{1,2,3})),0)</f>
        <v>70</v>
      </c>
      <c r="L14" s="32">
        <f>IFERROR(SUM(LARGE(Table14811[[#This Row],[Connacht Open]:[Irish Close 19-20]],{1,2})/2*3),0)</f>
        <v>105</v>
      </c>
      <c r="M14" s="32">
        <f t="shared" si="0"/>
        <v>70</v>
      </c>
    </row>
    <row r="15" spans="1:13" x14ac:dyDescent="0.3">
      <c r="A15" s="30">
        <v>14</v>
      </c>
      <c r="B15" s="26" t="s">
        <v>96</v>
      </c>
      <c r="C15" s="32" t="s">
        <v>4</v>
      </c>
      <c r="D15" s="23">
        <v>3</v>
      </c>
      <c r="F15" s="22">
        <v>50</v>
      </c>
      <c r="G15" s="22">
        <v>0</v>
      </c>
      <c r="H15" s="22">
        <v>0</v>
      </c>
      <c r="I15" s="22">
        <v>0</v>
      </c>
      <c r="J15" s="77">
        <f>SUM(Table14811[[#This Row],[Connacht Open]:[Irish Close 19-20]])</f>
        <v>50</v>
      </c>
      <c r="K15" s="32">
        <f>IFERROR(SUM(LARGE(Table14811[[#This Row],[Connacht Open]:[Irish Close 19-20]],{1,2,3})),0)</f>
        <v>50</v>
      </c>
      <c r="L15" s="32">
        <f>IFERROR(SUM(LARGE(Table14811[[#This Row],[Connacht Open]:[Irish Close 19-20]],{1,2})/2*3),0)</f>
        <v>75</v>
      </c>
      <c r="M15" s="32">
        <f t="shared" si="0"/>
        <v>50</v>
      </c>
    </row>
    <row r="16" spans="1:13" x14ac:dyDescent="0.3">
      <c r="A16" s="30">
        <v>15</v>
      </c>
      <c r="B16" s="26" t="s">
        <v>106</v>
      </c>
      <c r="C16" s="32" t="s">
        <v>4</v>
      </c>
      <c r="D16" s="23">
        <v>3</v>
      </c>
      <c r="F16" s="22">
        <v>0</v>
      </c>
      <c r="G16" s="22">
        <v>0</v>
      </c>
      <c r="H16" s="22">
        <v>0</v>
      </c>
      <c r="I16" s="22">
        <v>45</v>
      </c>
      <c r="J16" s="77">
        <f>SUM(Table14811[[#This Row],[Connacht Open]:[Irish Close 19-20]])</f>
        <v>45</v>
      </c>
      <c r="K16" s="32">
        <f>IFERROR(SUM(LARGE(Table14811[[#This Row],[Connacht Open]:[Irish Close 19-20]],{1,2,3})),0)</f>
        <v>45</v>
      </c>
      <c r="L16" s="32">
        <f>IFERROR(SUM(LARGE(Table14811[[#This Row],[Connacht Open]:[Irish Close 19-20]],{1,2})/2*3),0)</f>
        <v>67.5</v>
      </c>
      <c r="M16" s="32">
        <f t="shared" si="0"/>
        <v>45</v>
      </c>
    </row>
    <row r="17" spans="1:13" x14ac:dyDescent="0.3">
      <c r="A17" s="30">
        <v>16</v>
      </c>
      <c r="B17" s="26" t="s">
        <v>104</v>
      </c>
      <c r="C17" s="32" t="s">
        <v>4</v>
      </c>
      <c r="D17" s="23">
        <v>3</v>
      </c>
      <c r="F17" s="22">
        <v>0</v>
      </c>
      <c r="G17" s="22">
        <v>0</v>
      </c>
      <c r="H17" s="22">
        <v>0</v>
      </c>
      <c r="I17" s="22">
        <v>0</v>
      </c>
      <c r="J17" s="77">
        <f>SUM(Table14811[[#This Row],[Connacht Open]:[Irish Close 19-20]])</f>
        <v>0</v>
      </c>
      <c r="K17" s="32">
        <f>IFERROR(SUM(LARGE(Table14811[[#This Row],[Connacht Open]:[Irish Close 19-20]],{1,2,3})),0)</f>
        <v>0</v>
      </c>
      <c r="L17" s="32">
        <f>IFERROR(SUM(LARGE(Table14811[[#This Row],[Connacht Open]:[Irish Close 19-20]],{1,2})/2*3),0)</f>
        <v>0</v>
      </c>
      <c r="M17" s="32">
        <f t="shared" si="0"/>
        <v>0</v>
      </c>
    </row>
    <row r="18" spans="1:13" x14ac:dyDescent="0.3">
      <c r="A18" s="30">
        <v>18</v>
      </c>
      <c r="B18" s="26"/>
      <c r="C18" s="32" t="s">
        <v>4</v>
      </c>
      <c r="D18" s="23">
        <v>3</v>
      </c>
      <c r="F18" s="22">
        <v>0</v>
      </c>
      <c r="G18" s="22">
        <v>0</v>
      </c>
      <c r="H18" s="22">
        <v>0</v>
      </c>
      <c r="I18" s="22">
        <v>0</v>
      </c>
      <c r="J18" s="77">
        <f>SUM(Table14811[[#This Row],[Connacht Open]:[Irish Close 19-20]])</f>
        <v>0</v>
      </c>
      <c r="K18" s="32">
        <f>IFERROR(SUM(LARGE(Table14811[[#This Row],[Connacht Open]:[Irish Close 19-20]],{1,2,3})),0)</f>
        <v>0</v>
      </c>
      <c r="L18" s="32">
        <f>IFERROR(SUM(LARGE(Table14811[[#This Row],[Connacht Open]:[Irish Close 19-20]],{1,2})/2*3),0)</f>
        <v>0</v>
      </c>
      <c r="M18" s="32">
        <f t="shared" si="0"/>
        <v>0</v>
      </c>
    </row>
    <row r="19" spans="1:13" x14ac:dyDescent="0.3">
      <c r="A19" s="30"/>
      <c r="B19" s="46"/>
      <c r="C19" s="32" t="s">
        <v>4</v>
      </c>
      <c r="E19" s="22"/>
      <c r="F19" s="22"/>
      <c r="G19" s="22"/>
      <c r="H19" s="22"/>
      <c r="I19" s="22"/>
      <c r="J19" s="77">
        <f>SUM(Table14811[[#This Row],[Connacht Open]:[Irish Close 19-20]])</f>
        <v>0</v>
      </c>
      <c r="K19" s="32">
        <f>IFERROR(SUM(LARGE(Table14811[[#This Row],[Connacht Open]:[Irish Close 19-20]],{1,2,3})),0)</f>
        <v>0</v>
      </c>
      <c r="L19" s="32">
        <f>IFERROR(SUM(LARGE(Table14811[[#This Row],[Connacht Open]:[Irish Close 19-20]],{1,2})/2*3),0)</f>
        <v>0</v>
      </c>
      <c r="M19" s="32">
        <f t="shared" si="0"/>
        <v>0</v>
      </c>
    </row>
    <row r="20" spans="1:13" x14ac:dyDescent="0.3">
      <c r="A20" s="30"/>
      <c r="B20" s="46"/>
      <c r="C20" s="32" t="s">
        <v>4</v>
      </c>
      <c r="E20" s="22"/>
      <c r="F20" s="22"/>
      <c r="G20" s="22"/>
      <c r="H20" s="22"/>
      <c r="I20" s="22"/>
      <c r="J20" s="77">
        <f>SUM(Table14811[[#This Row],[Connacht Open]:[Irish Close 19-20]])</f>
        <v>0</v>
      </c>
      <c r="K20" s="32">
        <f>IFERROR(SUM(LARGE(Table14811[[#This Row],[Connacht Open]:[Irish Close 19-20]],{1,2,3})),0)</f>
        <v>0</v>
      </c>
      <c r="L20" s="32">
        <f>IFERROR(SUM(LARGE(Table14811[[#This Row],[Connacht Open]:[Irish Close 19-20]],{1,2})/2*3),0)</f>
        <v>0</v>
      </c>
      <c r="M20" s="32">
        <f t="shared" si="0"/>
        <v>0</v>
      </c>
    </row>
    <row r="22" spans="1:13" x14ac:dyDescent="0.3">
      <c r="B22" s="63" t="s">
        <v>118</v>
      </c>
      <c r="C22" s="34" t="s">
        <v>119</v>
      </c>
      <c r="D22" s="35"/>
      <c r="E22" s="34"/>
      <c r="F22" s="34"/>
    </row>
  </sheetData>
  <sortState ref="A2:A20">
    <sortCondition ref="A1"/>
  </sortState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60" zoomScaleNormal="60" workbookViewId="0">
      <selection activeCell="J26" sqref="J26"/>
    </sheetView>
  </sheetViews>
  <sheetFormatPr defaultColWidth="9.140625" defaultRowHeight="18.75" x14ac:dyDescent="0.3"/>
  <cols>
    <col min="1" max="1" width="9.140625" style="23"/>
    <col min="2" max="2" width="23" style="23" customWidth="1"/>
    <col min="3" max="3" width="27.85546875" style="27" customWidth="1"/>
    <col min="4" max="4" width="7.7109375" style="23" customWidth="1"/>
    <col min="5" max="5" width="25" style="23" bestFit="1" customWidth="1"/>
    <col min="6" max="6" width="26" style="23" bestFit="1" customWidth="1"/>
    <col min="7" max="7" width="25" style="23" bestFit="1" customWidth="1"/>
    <col min="8" max="8" width="23.140625" style="23" bestFit="1" customWidth="1"/>
    <col min="9" max="9" width="21.5703125" style="23" bestFit="1" customWidth="1"/>
    <col min="10" max="10" width="17.28515625" style="77" bestFit="1" customWidth="1"/>
    <col min="11" max="11" width="16.7109375" style="23" hidden="1" customWidth="1"/>
    <col min="12" max="12" width="20.5703125" style="23" hidden="1" customWidth="1"/>
    <col min="13" max="13" width="25.7109375" style="23" bestFit="1" customWidth="1"/>
    <col min="14" max="14" width="13.7109375" style="23" bestFit="1" customWidth="1"/>
    <col min="15" max="16384" width="9.140625" style="23"/>
  </cols>
  <sheetData>
    <row r="1" spans="1:13" s="29" customFormat="1" ht="24.75" customHeight="1" x14ac:dyDescent="0.25">
      <c r="A1" s="28" t="s">
        <v>18</v>
      </c>
      <c r="B1" s="29" t="s">
        <v>0</v>
      </c>
      <c r="C1" s="25" t="s">
        <v>2</v>
      </c>
      <c r="D1" s="29" t="s">
        <v>1</v>
      </c>
      <c r="E1" s="29" t="s">
        <v>206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26" t="s">
        <v>36</v>
      </c>
      <c r="C2" s="27" t="s">
        <v>4</v>
      </c>
      <c r="D2" s="23">
        <v>3</v>
      </c>
      <c r="E2" s="23">
        <v>100</v>
      </c>
      <c r="F2" s="22">
        <v>0</v>
      </c>
      <c r="G2" s="22">
        <v>100</v>
      </c>
      <c r="H2" s="22">
        <v>100</v>
      </c>
      <c r="I2" s="22">
        <v>125</v>
      </c>
      <c r="J2" s="77">
        <f>SUM(Table1481114[[#This Row],[Connacht Open 2021]:[Irish Close 19-20]])</f>
        <v>425</v>
      </c>
      <c r="K2" s="23">
        <f>IFERROR(SUM(LARGE(Table1481114[[#This Row],[Connacht Open 2021]:[Irish Close 19-20]],{1,2,3})),0)</f>
        <v>325</v>
      </c>
      <c r="L2" s="23">
        <f>IFERROR(SUM(LARGE(Table1481114[[#This Row],[Connacht Open 2021]:[Irish Close 19-20]],{1,2})/2*3),0)</f>
        <v>337.5</v>
      </c>
      <c r="M2" s="23">
        <f t="shared" ref="M2:M24" si="0">IF(D2=3,K2,L2)</f>
        <v>325</v>
      </c>
    </row>
    <row r="3" spans="1:13" x14ac:dyDescent="0.3">
      <c r="A3" s="30">
        <v>2</v>
      </c>
      <c r="B3" s="26" t="s">
        <v>31</v>
      </c>
      <c r="C3" s="27" t="s">
        <v>4</v>
      </c>
      <c r="D3" s="23">
        <v>3</v>
      </c>
      <c r="E3" s="23">
        <v>140</v>
      </c>
      <c r="F3" s="22">
        <v>140</v>
      </c>
      <c r="G3" s="22">
        <v>0</v>
      </c>
      <c r="H3" s="22">
        <v>0</v>
      </c>
      <c r="I3" s="22">
        <v>90</v>
      </c>
      <c r="J3" s="77">
        <f>SUM(Table1481114[[#This Row],[Connacht Open 2021]:[Irish Close 19-20]])</f>
        <v>370</v>
      </c>
      <c r="K3" s="23">
        <f>IFERROR(SUM(LARGE(Table1481114[[#This Row],[Connacht Open 2021]:[Irish Close 19-20]],{1,2,3})),0)</f>
        <v>370</v>
      </c>
      <c r="L3" s="23">
        <f>IFERROR(SUM(LARGE(Table1481114[[#This Row],[Connacht Open 2021]:[Irish Close 19-20]],{1,2})/2*3),0)</f>
        <v>420</v>
      </c>
      <c r="M3" s="23">
        <f t="shared" si="0"/>
        <v>370</v>
      </c>
    </row>
    <row r="4" spans="1:13" x14ac:dyDescent="0.3">
      <c r="A4" s="30">
        <v>3</v>
      </c>
      <c r="B4" s="26" t="s">
        <v>34</v>
      </c>
      <c r="C4" s="27" t="s">
        <v>4</v>
      </c>
      <c r="D4" s="23">
        <v>3</v>
      </c>
      <c r="E4" s="23">
        <v>50</v>
      </c>
      <c r="F4" s="22">
        <v>100</v>
      </c>
      <c r="G4" s="22">
        <v>140</v>
      </c>
      <c r="H4" s="22">
        <v>50</v>
      </c>
      <c r="I4" s="22">
        <v>0</v>
      </c>
      <c r="J4" s="77">
        <f>SUM(Table1481114[[#This Row],[Connacht Open 2021]:[Irish Close 19-20]])</f>
        <v>340</v>
      </c>
      <c r="K4" s="23">
        <f>IFERROR(SUM(LARGE(Table1481114[[#This Row],[Connacht Open 2021]:[Irish Close 19-20]],{1,2,3})),0)</f>
        <v>290</v>
      </c>
      <c r="L4" s="23">
        <f>IFERROR(SUM(LARGE(Table1481114[[#This Row],[Connacht Open 2021]:[Irish Close 19-20]],{1,2})/2*3),0)</f>
        <v>360</v>
      </c>
      <c r="M4" s="23">
        <f t="shared" si="0"/>
        <v>290</v>
      </c>
    </row>
    <row r="5" spans="1:13" x14ac:dyDescent="0.3">
      <c r="A5" s="30">
        <v>4</v>
      </c>
      <c r="B5" s="26" t="s">
        <v>30</v>
      </c>
      <c r="C5" s="27" t="s">
        <v>4</v>
      </c>
      <c r="D5" s="23">
        <v>3</v>
      </c>
      <c r="E5" s="23">
        <v>70</v>
      </c>
      <c r="F5" s="22">
        <v>0</v>
      </c>
      <c r="G5" s="22">
        <v>0</v>
      </c>
      <c r="H5" s="22">
        <v>0</v>
      </c>
      <c r="I5" s="22">
        <v>175</v>
      </c>
      <c r="J5" s="77">
        <f>SUM(Table1481114[[#This Row],[Connacht Open 2021]:[Irish Close 19-20]])</f>
        <v>245</v>
      </c>
      <c r="K5" s="23">
        <f>IFERROR(SUM(LARGE(Table1481114[[#This Row],[Connacht Open 2021]:[Irish Close 19-20]],{1,2,3})),0)</f>
        <v>245</v>
      </c>
      <c r="L5" s="23">
        <f>IFERROR(SUM(LARGE(Table1481114[[#This Row],[Connacht Open 2021]:[Irish Close 19-20]],{1,2})/2*3),0)</f>
        <v>367.5</v>
      </c>
      <c r="M5" s="23">
        <f t="shared" si="0"/>
        <v>245</v>
      </c>
    </row>
    <row r="6" spans="1:13" x14ac:dyDescent="0.3">
      <c r="A6" s="30">
        <v>5</v>
      </c>
      <c r="B6" s="26" t="s">
        <v>40</v>
      </c>
      <c r="C6" s="27" t="s">
        <v>4</v>
      </c>
      <c r="D6" s="23">
        <v>3</v>
      </c>
      <c r="E6" s="23">
        <v>30</v>
      </c>
      <c r="F6" s="22">
        <v>35</v>
      </c>
      <c r="G6" s="22">
        <v>70</v>
      </c>
      <c r="H6" s="22">
        <v>0</v>
      </c>
      <c r="I6" s="22">
        <v>45</v>
      </c>
      <c r="J6" s="77">
        <f>SUM(Table1481114[[#This Row],[Connacht Open 2021]:[Irish Close 19-20]])</f>
        <v>180</v>
      </c>
      <c r="K6" s="23">
        <f>IFERROR(SUM(LARGE(Table1481114[[#This Row],[Connacht Open 2021]:[Irish Close 19-20]],{1,2,3})),0)</f>
        <v>150</v>
      </c>
      <c r="L6" s="23">
        <f>IFERROR(SUM(LARGE(Table1481114[[#This Row],[Connacht Open 2021]:[Irish Close 19-20]],{1,2})/2*3),0)</f>
        <v>172.5</v>
      </c>
      <c r="M6" s="23">
        <f t="shared" si="0"/>
        <v>150</v>
      </c>
    </row>
    <row r="7" spans="1:13" x14ac:dyDescent="0.3">
      <c r="A7" s="30">
        <v>6</v>
      </c>
      <c r="B7" s="26" t="s">
        <v>35</v>
      </c>
      <c r="C7" s="27" t="s">
        <v>4</v>
      </c>
      <c r="D7" s="23">
        <v>3</v>
      </c>
      <c r="F7" s="22">
        <v>50</v>
      </c>
      <c r="G7" s="22">
        <v>50</v>
      </c>
      <c r="H7" s="22">
        <v>0</v>
      </c>
      <c r="I7" s="22">
        <v>50</v>
      </c>
      <c r="J7" s="77">
        <f>SUM(Table1481114[[#This Row],[Connacht Open 2021]:[Irish Close 19-20]])</f>
        <v>150</v>
      </c>
      <c r="K7" s="23">
        <f>IFERROR(SUM(LARGE(Table1481114[[#This Row],[Connacht Open 2021]:[Irish Close 19-20]],{1,2,3})),0)</f>
        <v>150</v>
      </c>
      <c r="L7" s="23">
        <f>IFERROR(SUM(LARGE(Table1481114[[#This Row],[Connacht Open 2021]:[Irish Close 19-20]],{1,2})/2*3),0)</f>
        <v>150</v>
      </c>
      <c r="M7" s="23">
        <f t="shared" si="0"/>
        <v>150</v>
      </c>
    </row>
    <row r="8" spans="1:13" x14ac:dyDescent="0.3">
      <c r="A8" s="30">
        <v>7</v>
      </c>
      <c r="B8" s="26" t="s">
        <v>41</v>
      </c>
      <c r="C8" s="27" t="s">
        <v>4</v>
      </c>
      <c r="D8" s="23">
        <v>3</v>
      </c>
      <c r="E8" s="23">
        <v>35</v>
      </c>
      <c r="F8" s="22">
        <v>30</v>
      </c>
      <c r="G8" s="22">
        <v>0</v>
      </c>
      <c r="H8" s="22">
        <v>35</v>
      </c>
      <c r="I8" s="22">
        <v>40</v>
      </c>
      <c r="J8" s="77">
        <f>SUM(Table1481114[[#This Row],[Connacht Open 2021]:[Irish Close 19-20]])</f>
        <v>140</v>
      </c>
      <c r="K8" s="23">
        <f>IFERROR(SUM(LARGE(Table1481114[[#This Row],[Connacht Open 2021]:[Irish Close 19-20]],{1,2,3})),0)</f>
        <v>110</v>
      </c>
      <c r="L8" s="23">
        <f>IFERROR(SUM(LARGE(Table1481114[[#This Row],[Connacht Open 2021]:[Irish Close 19-20]],{1,2})/2*3),0)</f>
        <v>112.5</v>
      </c>
      <c r="M8" s="23">
        <f t="shared" si="0"/>
        <v>110</v>
      </c>
    </row>
    <row r="9" spans="1:13" x14ac:dyDescent="0.3">
      <c r="A9" s="30">
        <v>8</v>
      </c>
      <c r="B9" s="26" t="s">
        <v>208</v>
      </c>
      <c r="C9" s="27" t="s">
        <v>4</v>
      </c>
      <c r="D9" s="23">
        <v>3</v>
      </c>
      <c r="E9" s="23">
        <v>40</v>
      </c>
      <c r="F9" s="22">
        <v>0</v>
      </c>
      <c r="G9" s="22">
        <v>0</v>
      </c>
      <c r="H9" s="22">
        <v>70</v>
      </c>
      <c r="I9" s="22">
        <v>30</v>
      </c>
      <c r="J9" s="77">
        <f>SUM(Table1481114[[#This Row],[Connacht Open 2021]:[Irish Close 19-20]])</f>
        <v>140</v>
      </c>
      <c r="K9" s="23">
        <f>IFERROR(SUM(LARGE(Table1481114[[#This Row],[Connacht Open 2021]:[Irish Close 19-20]],{1,2,3})),0)</f>
        <v>140</v>
      </c>
      <c r="L9" s="23">
        <f>IFERROR(SUM(LARGE(Table1481114[[#This Row],[Connacht Open 2021]:[Irish Close 19-20]],{1,2})/2*3),0)</f>
        <v>165</v>
      </c>
      <c r="M9" s="23">
        <f t="shared" si="0"/>
        <v>140</v>
      </c>
    </row>
    <row r="10" spans="1:13" x14ac:dyDescent="0.3">
      <c r="A10" s="30">
        <v>9</v>
      </c>
      <c r="B10" s="38" t="s">
        <v>221</v>
      </c>
      <c r="C10" s="27" t="s">
        <v>4</v>
      </c>
      <c r="D10" s="23">
        <v>3</v>
      </c>
      <c r="F10" s="22">
        <v>0</v>
      </c>
      <c r="G10" s="22">
        <v>0</v>
      </c>
      <c r="H10" s="22">
        <v>140</v>
      </c>
      <c r="I10" s="22">
        <v>0</v>
      </c>
      <c r="J10" s="77">
        <f>SUM(Table1481114[[#This Row],[Connacht Open 2021]:[Irish Close 19-20]])</f>
        <v>140</v>
      </c>
      <c r="K10" s="23">
        <f>IFERROR(SUM(LARGE(Table1481114[[#This Row],[Connacht Open 2021]:[Irish Close 19-20]],{1,2,3})),0)</f>
        <v>140</v>
      </c>
      <c r="L10" s="23">
        <f>IFERROR(SUM(LARGE(Table1481114[[#This Row],[Connacht Open 2021]:[Irish Close 19-20]],{1,2})/2*3),0)</f>
        <v>210</v>
      </c>
      <c r="M10" s="23">
        <f t="shared" si="0"/>
        <v>140</v>
      </c>
    </row>
    <row r="11" spans="1:13" x14ac:dyDescent="0.3">
      <c r="A11" s="30">
        <v>10</v>
      </c>
      <c r="B11" s="27" t="s">
        <v>32</v>
      </c>
      <c r="C11" s="27" t="s">
        <v>4</v>
      </c>
      <c r="D11" s="23">
        <v>3</v>
      </c>
      <c r="F11" s="22">
        <v>70</v>
      </c>
      <c r="G11" s="22">
        <v>0</v>
      </c>
      <c r="H11" s="22">
        <v>0</v>
      </c>
      <c r="I11" s="22">
        <v>65</v>
      </c>
      <c r="J11" s="77">
        <f>SUM(Table1481114[[#This Row],[Connacht Open 2021]:[Irish Close 19-20]])</f>
        <v>135</v>
      </c>
      <c r="K11" s="23">
        <f>IFERROR(SUM(LARGE(Table1481114[[#This Row],[Connacht Open 2021]:[Irish Close 19-20]],{1,2,3})),0)</f>
        <v>135</v>
      </c>
      <c r="L11" s="23">
        <f>IFERROR(SUM(LARGE(Table1481114[[#This Row],[Connacht Open 2021]:[Irish Close 19-20]],{1,2})/2*3),0)</f>
        <v>202.5</v>
      </c>
      <c r="M11" s="23">
        <f t="shared" si="0"/>
        <v>135</v>
      </c>
    </row>
    <row r="12" spans="1:13" x14ac:dyDescent="0.3">
      <c r="A12" s="30">
        <v>11</v>
      </c>
      <c r="B12" s="38" t="s">
        <v>93</v>
      </c>
      <c r="C12" s="27" t="s">
        <v>4</v>
      </c>
      <c r="D12" s="23">
        <v>3</v>
      </c>
      <c r="E12" s="23">
        <v>25</v>
      </c>
      <c r="F12" s="22">
        <v>30</v>
      </c>
      <c r="G12" s="22">
        <v>40</v>
      </c>
      <c r="H12" s="22">
        <v>0</v>
      </c>
      <c r="I12" s="22">
        <v>0</v>
      </c>
      <c r="J12" s="77">
        <f>SUM(Table1481114[[#This Row],[Connacht Open 2021]:[Irish Close 19-20]])</f>
        <v>95</v>
      </c>
      <c r="K12" s="23">
        <f>IFERROR(SUM(LARGE(Table1481114[[#This Row],[Connacht Open 2021]:[Irish Close 19-20]],{1,2,3})),0)</f>
        <v>95</v>
      </c>
      <c r="L12" s="23">
        <f>IFERROR(SUM(LARGE(Table1481114[[#This Row],[Connacht Open 2021]:[Irish Close 19-20]],{1,2})/2*3),0)</f>
        <v>105</v>
      </c>
      <c r="M12" s="23">
        <f t="shared" si="0"/>
        <v>95</v>
      </c>
    </row>
    <row r="13" spans="1:13" x14ac:dyDescent="0.3">
      <c r="A13" s="30">
        <v>12</v>
      </c>
      <c r="B13" s="44" t="s">
        <v>102</v>
      </c>
      <c r="C13" s="27" t="s">
        <v>4</v>
      </c>
      <c r="D13" s="23">
        <v>3</v>
      </c>
      <c r="F13" s="24">
        <v>10</v>
      </c>
      <c r="G13" s="22">
        <v>30</v>
      </c>
      <c r="H13" s="22">
        <v>0</v>
      </c>
      <c r="I13" s="22">
        <v>25</v>
      </c>
      <c r="J13" s="77">
        <f>SUM(Table1481114[[#This Row],[Connacht Open 2021]:[Irish Close 19-20]])</f>
        <v>65</v>
      </c>
      <c r="K13" s="23">
        <f>IFERROR(SUM(LARGE(Table1481114[[#This Row],[Connacht Open 2021]:[Irish Close 19-20]],{1,2,3})),0)</f>
        <v>65</v>
      </c>
      <c r="L13" s="23">
        <f>IFERROR(SUM(LARGE(Table1481114[[#This Row],[Connacht Open 2021]:[Irish Close 19-20]],{1,2})/2*3),0)</f>
        <v>82.5</v>
      </c>
      <c r="M13" s="23">
        <f t="shared" si="0"/>
        <v>65</v>
      </c>
    </row>
    <row r="14" spans="1:13" x14ac:dyDescent="0.3">
      <c r="A14" s="30">
        <v>13</v>
      </c>
      <c r="B14" s="26" t="s">
        <v>223</v>
      </c>
      <c r="C14" s="27" t="s">
        <v>4</v>
      </c>
      <c r="D14" s="23">
        <v>3</v>
      </c>
      <c r="E14" s="22">
        <v>20</v>
      </c>
      <c r="F14" s="22">
        <v>0</v>
      </c>
      <c r="G14" s="22">
        <v>0</v>
      </c>
      <c r="H14" s="22">
        <v>30</v>
      </c>
      <c r="I14" s="22">
        <v>0</v>
      </c>
      <c r="J14" s="77">
        <f>SUM(Table1481114[[#This Row],[Connacht Open 2021]:[Irish Close 19-20]])</f>
        <v>50</v>
      </c>
      <c r="K14" s="23">
        <f>IFERROR(SUM(LARGE(Table1481114[[#This Row],[Connacht Open 2021]:[Irish Close 19-20]],{1,2,3})),0)</f>
        <v>50</v>
      </c>
      <c r="L14" s="23">
        <f>IFERROR(SUM(LARGE(Table1481114[[#This Row],[Connacht Open 2021]:[Irish Close 19-20]],{1,2})/2*3),0)</f>
        <v>75</v>
      </c>
      <c r="M14" s="23">
        <f t="shared" si="0"/>
        <v>50</v>
      </c>
    </row>
    <row r="15" spans="1:13" x14ac:dyDescent="0.3">
      <c r="A15" s="30">
        <v>14</v>
      </c>
      <c r="B15" s="27" t="s">
        <v>150</v>
      </c>
      <c r="C15" s="27" t="s">
        <v>4</v>
      </c>
      <c r="D15" s="23">
        <v>3</v>
      </c>
      <c r="F15" s="22">
        <v>0</v>
      </c>
      <c r="G15" s="22">
        <v>40</v>
      </c>
      <c r="H15" s="22">
        <v>0</v>
      </c>
      <c r="I15" s="22">
        <v>0</v>
      </c>
      <c r="J15" s="77">
        <f>SUM(Table1481114[[#This Row],[Connacht Open 2021]:[Irish Close 19-20]])</f>
        <v>40</v>
      </c>
      <c r="K15" s="23">
        <f>IFERROR(SUM(LARGE(Table1481114[[#This Row],[Connacht Open 2021]:[Irish Close 19-20]],{1,2,3})),0)</f>
        <v>40</v>
      </c>
      <c r="L15" s="23">
        <f>IFERROR(SUM(LARGE(Table1481114[[#This Row],[Connacht Open 2021]:[Irish Close 19-20]],{1,2})/2*3),0)</f>
        <v>60</v>
      </c>
      <c r="M15" s="23">
        <f t="shared" si="0"/>
        <v>40</v>
      </c>
    </row>
    <row r="16" spans="1:13" x14ac:dyDescent="0.3">
      <c r="A16" s="30">
        <v>15</v>
      </c>
      <c r="B16" s="26" t="s">
        <v>99</v>
      </c>
      <c r="C16" s="27" t="s">
        <v>4</v>
      </c>
      <c r="D16" s="23">
        <v>3</v>
      </c>
      <c r="F16" s="22">
        <v>40</v>
      </c>
      <c r="G16" s="22">
        <v>0</v>
      </c>
      <c r="H16" s="22">
        <v>0</v>
      </c>
      <c r="I16" s="22">
        <v>0</v>
      </c>
      <c r="J16" s="77">
        <f>SUM(Table1481114[[#This Row],[Connacht Open 2021]:[Irish Close 19-20]])</f>
        <v>40</v>
      </c>
      <c r="K16" s="23">
        <f>IFERROR(SUM(LARGE(Table1481114[[#This Row],[Connacht Open 2021]:[Irish Close 19-20]],{1,2,3})),0)</f>
        <v>40</v>
      </c>
      <c r="L16" s="23">
        <f>IFERROR(SUM(LARGE(Table1481114[[#This Row],[Connacht Open 2021]:[Irish Close 19-20]],{1,2})/2*3),0)</f>
        <v>60</v>
      </c>
      <c r="M16" s="23">
        <f t="shared" si="0"/>
        <v>40</v>
      </c>
    </row>
    <row r="17" spans="1:13" x14ac:dyDescent="0.3">
      <c r="A17" s="30">
        <v>16</v>
      </c>
      <c r="B17" s="26" t="s">
        <v>222</v>
      </c>
      <c r="C17" s="27" t="s">
        <v>4</v>
      </c>
      <c r="D17" s="23">
        <v>3</v>
      </c>
      <c r="F17" s="22">
        <v>0</v>
      </c>
      <c r="G17" s="22">
        <v>0</v>
      </c>
      <c r="H17" s="22">
        <v>40</v>
      </c>
      <c r="I17" s="22">
        <v>0</v>
      </c>
      <c r="J17" s="77">
        <f>SUM(Table1481114[[#This Row],[Connacht Open 2021]:[Irish Close 19-20]])</f>
        <v>40</v>
      </c>
      <c r="K17" s="23">
        <f>IFERROR(SUM(LARGE(Table1481114[[#This Row],[Connacht Open 2021]:[Irish Close 19-20]],{1,2,3})),0)</f>
        <v>40</v>
      </c>
      <c r="L17" s="23">
        <f>IFERROR(SUM(LARGE(Table1481114[[#This Row],[Connacht Open 2021]:[Irish Close 19-20]],{1,2})/2*3),0)</f>
        <v>60</v>
      </c>
      <c r="M17" s="23">
        <f t="shared" si="0"/>
        <v>40</v>
      </c>
    </row>
    <row r="18" spans="1:13" x14ac:dyDescent="0.3">
      <c r="A18" s="30">
        <v>17</v>
      </c>
      <c r="B18" s="27" t="s">
        <v>100</v>
      </c>
      <c r="C18" s="27" t="s">
        <v>4</v>
      </c>
      <c r="D18" s="23">
        <v>3</v>
      </c>
      <c r="F18" s="22">
        <v>25</v>
      </c>
      <c r="G18" s="22">
        <v>0</v>
      </c>
      <c r="H18" s="22">
        <v>0</v>
      </c>
      <c r="I18" s="22">
        <v>0</v>
      </c>
      <c r="J18" s="77">
        <f>SUM(Table1481114[[#This Row],[Connacht Open 2021]:[Irish Close 19-20]])</f>
        <v>25</v>
      </c>
      <c r="K18" s="23">
        <f>IFERROR(SUM(LARGE(Table1481114[[#This Row],[Connacht Open 2021]:[Irish Close 19-20]],{1,2,3})),0)</f>
        <v>25</v>
      </c>
      <c r="L18" s="23">
        <f>IFERROR(SUM(LARGE(Table1481114[[#This Row],[Connacht Open 2021]:[Irish Close 19-20]],{1,2})/2*3),0)</f>
        <v>37.5</v>
      </c>
      <c r="M18" s="23">
        <f t="shared" si="0"/>
        <v>25</v>
      </c>
    </row>
    <row r="19" spans="1:13" x14ac:dyDescent="0.3">
      <c r="A19" s="30">
        <v>18</v>
      </c>
      <c r="B19" s="27" t="s">
        <v>195</v>
      </c>
      <c r="C19" s="27" t="s">
        <v>4</v>
      </c>
      <c r="D19" s="23">
        <v>3</v>
      </c>
      <c r="E19" s="23">
        <v>15</v>
      </c>
      <c r="H19" s="22">
        <v>0</v>
      </c>
      <c r="J19" s="77">
        <f>SUM(Table1481114[[#This Row],[Connacht Open 2021]:[Irish Close 19-20]])</f>
        <v>15</v>
      </c>
      <c r="K19" s="23">
        <f>IFERROR(SUM(LARGE(Table1481114[[#This Row],[Connacht Open 2021]:[Irish Close 19-20]],{1,2,3})),0)</f>
        <v>0</v>
      </c>
      <c r="L19" s="23">
        <f>IFERROR(SUM(LARGE(Table1481114[[#This Row],[Connacht Open 2021]:[Irish Close 19-20]],{1,2})/2*3),0)</f>
        <v>22.5</v>
      </c>
      <c r="M19" s="23">
        <f t="shared" si="0"/>
        <v>0</v>
      </c>
    </row>
    <row r="20" spans="1:13" x14ac:dyDescent="0.3">
      <c r="A20" s="30">
        <v>19</v>
      </c>
      <c r="B20" s="27" t="s">
        <v>101</v>
      </c>
      <c r="C20" s="27" t="s">
        <v>4</v>
      </c>
      <c r="D20" s="23">
        <v>3</v>
      </c>
      <c r="F20" s="23">
        <v>15</v>
      </c>
      <c r="G20" s="22">
        <v>0</v>
      </c>
      <c r="H20" s="22">
        <v>0</v>
      </c>
      <c r="I20" s="22">
        <v>0</v>
      </c>
      <c r="J20" s="77">
        <f>SUM(Table1481114[[#This Row],[Connacht Open 2021]:[Irish Close 19-20]])</f>
        <v>15</v>
      </c>
      <c r="K20" s="23">
        <f>IFERROR(SUM(LARGE(Table1481114[[#This Row],[Connacht Open 2021]:[Irish Close 19-20]],{1,2,3})),0)</f>
        <v>15</v>
      </c>
      <c r="L20" s="23">
        <f>IFERROR(SUM(LARGE(Table1481114[[#This Row],[Connacht Open 2021]:[Irish Close 19-20]],{1,2})/2*3),0)</f>
        <v>22.5</v>
      </c>
      <c r="M20" s="23">
        <f t="shared" si="0"/>
        <v>15</v>
      </c>
    </row>
    <row r="21" spans="1:13" x14ac:dyDescent="0.3">
      <c r="A21" s="30">
        <v>20</v>
      </c>
      <c r="B21" s="26" t="s">
        <v>193</v>
      </c>
      <c r="C21" s="27" t="s">
        <v>4</v>
      </c>
      <c r="D21" s="23">
        <v>3</v>
      </c>
      <c r="E21" s="22">
        <v>10</v>
      </c>
      <c r="F21" s="22">
        <v>0</v>
      </c>
      <c r="G21" s="22">
        <v>0</v>
      </c>
      <c r="H21" s="22">
        <v>0</v>
      </c>
      <c r="I21" s="22">
        <v>0</v>
      </c>
      <c r="J21" s="77">
        <f>SUM(Table1481114[[#This Row],[Connacht Open 2021]:[Irish Close 19-20]])</f>
        <v>10</v>
      </c>
      <c r="K21" s="23">
        <f>IFERROR(SUM(LARGE(Table1481114[[#This Row],[Connacht Open 2021]:[Irish Close 19-20]],{1,2,3})),0)</f>
        <v>10</v>
      </c>
      <c r="L21" s="23">
        <f>IFERROR(SUM(LARGE(Table1481114[[#This Row],[Connacht Open 2021]:[Irish Close 19-20]],{1,2})/2*3),0)</f>
        <v>15</v>
      </c>
      <c r="M21" s="23">
        <f t="shared" si="0"/>
        <v>10</v>
      </c>
    </row>
    <row r="22" spans="1:13" x14ac:dyDescent="0.3">
      <c r="A22" s="30">
        <v>21</v>
      </c>
      <c r="B22" s="26" t="s">
        <v>196</v>
      </c>
      <c r="C22" s="27" t="s">
        <v>4</v>
      </c>
      <c r="D22" s="23">
        <v>3</v>
      </c>
      <c r="E22" s="22">
        <v>10</v>
      </c>
      <c r="F22" s="22">
        <v>0</v>
      </c>
      <c r="G22" s="22">
        <v>0</v>
      </c>
      <c r="H22" s="22">
        <v>0</v>
      </c>
      <c r="I22" s="22">
        <v>0</v>
      </c>
      <c r="J22" s="77">
        <f>SUM(Table1481114[[#This Row],[Connacht Open 2021]:[Irish Close 19-20]])</f>
        <v>10</v>
      </c>
      <c r="K22" s="23">
        <f>IFERROR(SUM(LARGE(Table1481114[[#This Row],[Connacht Open 2021]:[Irish Close 19-20]],{1,2,3})),0)</f>
        <v>10</v>
      </c>
      <c r="L22" s="23">
        <f>IFERROR(SUM(LARGE(Table1481114[[#This Row],[Connacht Open 2021]:[Irish Close 19-20]],{1,2})/2*3),0)</f>
        <v>15</v>
      </c>
      <c r="M22" s="23">
        <f t="shared" si="0"/>
        <v>10</v>
      </c>
    </row>
    <row r="23" spans="1:13" x14ac:dyDescent="0.3">
      <c r="A23" s="30">
        <v>22</v>
      </c>
      <c r="B23" s="26" t="s">
        <v>148</v>
      </c>
      <c r="C23" s="27" t="s">
        <v>4</v>
      </c>
      <c r="D23" s="23">
        <v>3</v>
      </c>
      <c r="F23" s="22">
        <v>10</v>
      </c>
      <c r="G23" s="22">
        <v>0</v>
      </c>
      <c r="H23" s="22">
        <v>0</v>
      </c>
      <c r="I23" s="22">
        <v>0</v>
      </c>
      <c r="J23" s="77">
        <f>SUM(Table1481114[[#This Row],[Connacht Open 2021]:[Irish Close 19-20]])</f>
        <v>10</v>
      </c>
      <c r="K23" s="23">
        <f>IFERROR(SUM(LARGE(Table1481114[[#This Row],[Connacht Open 2021]:[Irish Close 19-20]],{1,2,3})),0)</f>
        <v>10</v>
      </c>
      <c r="L23" s="23">
        <f>IFERROR(SUM(LARGE(Table1481114[[#This Row],[Connacht Open 2021]:[Irish Close 19-20]],{1,2})/2*3),0)</f>
        <v>15</v>
      </c>
      <c r="M23" s="23">
        <f t="shared" si="0"/>
        <v>10</v>
      </c>
    </row>
    <row r="24" spans="1:13" x14ac:dyDescent="0.3">
      <c r="A24" s="30">
        <v>23</v>
      </c>
      <c r="B24" s="27" t="s">
        <v>194</v>
      </c>
      <c r="D24" s="23">
        <v>3</v>
      </c>
      <c r="E24" s="23">
        <v>5</v>
      </c>
      <c r="F24" s="23">
        <v>0</v>
      </c>
      <c r="G24" s="23">
        <v>0</v>
      </c>
      <c r="H24" s="22">
        <v>0</v>
      </c>
      <c r="I24" s="23">
        <v>0</v>
      </c>
      <c r="J24" s="77">
        <f>SUM(Table1481114[[#This Row],[Connacht Open 2021]:[Irish Close 19-20]])</f>
        <v>5</v>
      </c>
      <c r="K24" s="23">
        <f>IFERROR(SUM(LARGE(Table1481114[[#This Row],[Connacht Open 2021]:[Irish Close 19-20]],{1,2,3})),0)</f>
        <v>5</v>
      </c>
      <c r="L24" s="23">
        <f>IFERROR(SUM(LARGE(Table1481114[[#This Row],[Connacht Open 2021]:[Irish Close 19-20]],{1,2})/2*3),0)</f>
        <v>7.5</v>
      </c>
      <c r="M24" s="23">
        <f t="shared" si="0"/>
        <v>5</v>
      </c>
    </row>
    <row r="25" spans="1:13" x14ac:dyDescent="0.3">
      <c r="B25" s="35" t="s">
        <v>118</v>
      </c>
      <c r="C25" s="64" t="s">
        <v>119</v>
      </c>
      <c r="D25" s="35"/>
      <c r="E25" s="35"/>
      <c r="F25" s="35"/>
    </row>
    <row r="26" spans="1:13" x14ac:dyDescent="0.3">
      <c r="B26" s="23" t="s">
        <v>214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0" zoomScaleNormal="70" workbookViewId="0">
      <selection activeCell="C13" sqref="C13"/>
    </sheetView>
  </sheetViews>
  <sheetFormatPr defaultColWidth="8.7109375" defaultRowHeight="18.75" x14ac:dyDescent="0.3"/>
  <cols>
    <col min="1" max="1" width="8.7109375" style="32"/>
    <col min="2" max="2" width="23" style="38" customWidth="1"/>
    <col min="3" max="3" width="17.28515625" style="32" bestFit="1" customWidth="1"/>
    <col min="4" max="4" width="12.85546875" style="23" bestFit="1" customWidth="1"/>
    <col min="5" max="5" width="19.140625" style="32" bestFit="1" customWidth="1"/>
    <col min="6" max="6" width="20.28515625" style="32" bestFit="1" customWidth="1"/>
    <col min="7" max="7" width="19.140625" style="32" bestFit="1" customWidth="1"/>
    <col min="8" max="8" width="21.85546875" style="32" bestFit="1" customWidth="1"/>
    <col min="9" max="9" width="15.85546875" style="32" bestFit="1" customWidth="1"/>
    <col min="10" max="10" width="17.28515625" style="77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6384" width="8.7109375" style="32"/>
  </cols>
  <sheetData>
    <row r="1" spans="1:13" s="29" customFormat="1" ht="30" customHeight="1" x14ac:dyDescent="0.25">
      <c r="A1" s="28" t="s">
        <v>18</v>
      </c>
      <c r="B1" s="26" t="s">
        <v>0</v>
      </c>
      <c r="C1" s="29" t="s">
        <v>2</v>
      </c>
      <c r="D1" s="29" t="s">
        <v>1</v>
      </c>
      <c r="E1" s="29" t="s">
        <v>203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26" t="s">
        <v>55</v>
      </c>
      <c r="C2" s="32" t="s">
        <v>4</v>
      </c>
      <c r="D2" s="23">
        <v>3</v>
      </c>
      <c r="F2" s="22">
        <v>100</v>
      </c>
      <c r="G2" s="22">
        <v>140</v>
      </c>
      <c r="H2" s="22">
        <v>0</v>
      </c>
      <c r="I2" s="22">
        <v>90</v>
      </c>
      <c r="J2" s="77">
        <f>SUM(Table1481117[[#This Row],[Connacht Open 21]:[Irish Close 19-20]])</f>
        <v>330</v>
      </c>
      <c r="K2" s="32">
        <f>IFERROR(SUM(LARGE(Table1481117[[#This Row],[Connacht Open 21]:[Irish Close 19-20]],{1,2,3})),0)</f>
        <v>330</v>
      </c>
      <c r="L2" s="32">
        <f>IFERROR(SUM(LARGE(Table1481117[[#This Row],[Connacht Open 21]:[Irish Close 19-20]],{1,2})/2*3),0)</f>
        <v>360</v>
      </c>
      <c r="M2" s="32">
        <f t="shared" ref="M2:M14" si="0">IF(D2=3,K2,L2)</f>
        <v>330</v>
      </c>
    </row>
    <row r="3" spans="1:13" x14ac:dyDescent="0.3">
      <c r="A3" s="30">
        <v>2</v>
      </c>
      <c r="B3" s="26" t="s">
        <v>42</v>
      </c>
      <c r="C3" s="32" t="s">
        <v>4</v>
      </c>
      <c r="D3" s="23">
        <v>3</v>
      </c>
      <c r="F3" s="22">
        <v>140</v>
      </c>
      <c r="G3" s="22">
        <v>0</v>
      </c>
      <c r="H3" s="22">
        <v>0</v>
      </c>
      <c r="I3" s="22">
        <v>175</v>
      </c>
      <c r="J3" s="77">
        <f>SUM(Table1481117[[#This Row],[Connacht Open 21]:[Irish Close 19-20]])</f>
        <v>315</v>
      </c>
      <c r="K3" s="32">
        <f>IFERROR(SUM(LARGE(Table1481117[[#This Row],[Connacht Open 21]:[Irish Close 19-20]],{1,2,3})),0)</f>
        <v>315</v>
      </c>
      <c r="L3" s="32">
        <f>IFERROR(SUM(LARGE(Table1481117[[#This Row],[Connacht Open 21]:[Irish Close 19-20]],{1,2})/2*3),0)</f>
        <v>472.5</v>
      </c>
      <c r="M3" s="32">
        <f t="shared" si="0"/>
        <v>315</v>
      </c>
    </row>
    <row r="4" spans="1:13" x14ac:dyDescent="0.3">
      <c r="A4" s="30">
        <v>3</v>
      </c>
      <c r="B4" s="38" t="s">
        <v>95</v>
      </c>
      <c r="C4" s="32" t="s">
        <v>4</v>
      </c>
      <c r="D4" s="23">
        <v>3</v>
      </c>
      <c r="E4" s="23">
        <v>100</v>
      </c>
      <c r="F4" s="22">
        <v>70</v>
      </c>
      <c r="G4" s="22">
        <v>50</v>
      </c>
      <c r="H4" s="22">
        <v>0</v>
      </c>
      <c r="I4" s="22">
        <v>65</v>
      </c>
      <c r="J4" s="77">
        <f>SUM(Table1481117[[#This Row],[Connacht Open 21]:[Irish Close 19-20]])</f>
        <v>285</v>
      </c>
      <c r="K4" s="32">
        <f>IFERROR(SUM(LARGE(Table1481117[[#This Row],[Connacht Open 21]:[Irish Close 19-20]],{1,2,3})),0)</f>
        <v>235</v>
      </c>
      <c r="L4" s="32">
        <f>IFERROR(SUM(LARGE(Table1481117[[#This Row],[Connacht Open 21]:[Irish Close 19-20]],{1,2})/2*3),0)</f>
        <v>255</v>
      </c>
      <c r="M4" s="32">
        <f t="shared" si="0"/>
        <v>235</v>
      </c>
    </row>
    <row r="5" spans="1:13" x14ac:dyDescent="0.3">
      <c r="A5" s="30">
        <v>4</v>
      </c>
      <c r="B5" s="26" t="s">
        <v>104</v>
      </c>
      <c r="C5" s="32" t="s">
        <v>4</v>
      </c>
      <c r="D5" s="23">
        <v>3</v>
      </c>
      <c r="F5" s="22">
        <v>40</v>
      </c>
      <c r="G5" s="22">
        <v>100</v>
      </c>
      <c r="H5" s="22">
        <v>0</v>
      </c>
      <c r="I5" s="22">
        <v>65</v>
      </c>
      <c r="J5" s="77">
        <f>SUM(Table1481117[[#This Row],[Connacht Open 21]:[Irish Close 19-20]])</f>
        <v>205</v>
      </c>
      <c r="K5" s="32">
        <f>IFERROR(SUM(LARGE(Table1481117[[#This Row],[Connacht Open 21]:[Irish Close 19-20]],{1,2,3})),0)</f>
        <v>205</v>
      </c>
      <c r="L5" s="32">
        <f>IFERROR(SUM(LARGE(Table1481117[[#This Row],[Connacht Open 21]:[Irish Close 19-20]],{1,2})/2*3),0)</f>
        <v>247.5</v>
      </c>
      <c r="M5" s="32">
        <f t="shared" si="0"/>
        <v>205</v>
      </c>
    </row>
    <row r="6" spans="1:13" x14ac:dyDescent="0.3">
      <c r="A6" s="30">
        <v>6</v>
      </c>
      <c r="B6" s="26" t="s">
        <v>188</v>
      </c>
      <c r="C6" s="32" t="s">
        <v>4</v>
      </c>
      <c r="D6" s="23">
        <v>3</v>
      </c>
      <c r="E6" s="23">
        <v>140</v>
      </c>
      <c r="F6" s="22"/>
      <c r="G6" s="53"/>
      <c r="H6" s="22">
        <v>0</v>
      </c>
      <c r="I6" s="22"/>
      <c r="J6" s="77">
        <f>SUM(Table1481117[[#This Row],[Connacht Open 21]:[Irish Close 19-20]])</f>
        <v>140</v>
      </c>
      <c r="K6" s="32">
        <f>IFERROR(SUM(LARGE(Table1481117[[#This Row],[Connacht Open 21]:[Irish Close 19-20]],{1,2,3})),0)</f>
        <v>0</v>
      </c>
      <c r="L6" s="32">
        <f>IFERROR(SUM(LARGE(Table1481117[[#This Row],[Connacht Open 21]:[Irish Close 19-20]],{1,2})/2*3),0)</f>
        <v>210</v>
      </c>
      <c r="M6" s="32">
        <f t="shared" si="0"/>
        <v>0</v>
      </c>
    </row>
    <row r="7" spans="1:13" x14ac:dyDescent="0.3">
      <c r="A7" s="30">
        <v>7</v>
      </c>
      <c r="B7" s="26" t="s">
        <v>103</v>
      </c>
      <c r="C7" s="32" t="s">
        <v>4</v>
      </c>
      <c r="D7" s="23">
        <v>3</v>
      </c>
      <c r="F7" s="22">
        <v>50</v>
      </c>
      <c r="G7" s="22">
        <v>0</v>
      </c>
      <c r="H7" s="22">
        <v>0</v>
      </c>
      <c r="I7" s="22">
        <v>50</v>
      </c>
      <c r="J7" s="77">
        <f>SUM(Table1481117[[#This Row],[Connacht Open 21]:[Irish Close 19-20]])</f>
        <v>100</v>
      </c>
      <c r="K7" s="32">
        <f>IFERROR(SUM(LARGE(Table1481117[[#This Row],[Connacht Open 21]:[Irish Close 19-20]],{1,2,3})),0)</f>
        <v>100</v>
      </c>
      <c r="L7" s="32">
        <f>IFERROR(SUM(LARGE(Table1481117[[#This Row],[Connacht Open 21]:[Irish Close 19-20]],{1,2})/2*3),0)</f>
        <v>150</v>
      </c>
      <c r="M7" s="32">
        <f t="shared" si="0"/>
        <v>100</v>
      </c>
    </row>
    <row r="8" spans="1:13" x14ac:dyDescent="0.3">
      <c r="A8" s="30">
        <v>8</v>
      </c>
      <c r="B8" s="38" t="s">
        <v>109</v>
      </c>
      <c r="C8" s="32" t="s">
        <v>4</v>
      </c>
      <c r="D8" s="23">
        <v>3</v>
      </c>
      <c r="E8" s="23">
        <v>70</v>
      </c>
      <c r="G8" s="22">
        <v>0</v>
      </c>
      <c r="J8" s="77">
        <f>SUM(Table1481117[[#This Row],[Connacht Open 21]:[Irish Close 19-20]])</f>
        <v>70</v>
      </c>
      <c r="K8" s="32">
        <f>IFERROR(SUM(LARGE(Table1481117[[#This Row],[Connacht Open 21]:[Irish Close 19-20]],{1,2,3})),0)</f>
        <v>0</v>
      </c>
      <c r="L8" s="32">
        <f>IFERROR(SUM(LARGE(Table1481117[[#This Row],[Connacht Open 21]:[Irish Close 19-20]],{1,2})/2*3),0)</f>
        <v>105</v>
      </c>
      <c r="M8" s="32">
        <f t="shared" si="0"/>
        <v>0</v>
      </c>
    </row>
    <row r="9" spans="1:13" x14ac:dyDescent="0.3">
      <c r="A9" s="30">
        <v>9</v>
      </c>
      <c r="B9" s="26" t="s">
        <v>106</v>
      </c>
      <c r="C9" s="32" t="s">
        <v>4</v>
      </c>
      <c r="D9" s="23">
        <v>3</v>
      </c>
      <c r="E9" s="23">
        <v>40</v>
      </c>
      <c r="F9" s="22">
        <v>25</v>
      </c>
      <c r="G9" s="22">
        <v>0</v>
      </c>
      <c r="H9" s="22">
        <v>0</v>
      </c>
      <c r="I9" s="22">
        <v>0</v>
      </c>
      <c r="J9" s="77">
        <f>SUM(Table1481117[[#This Row],[Connacht Open 21]:[Irish Close 19-20]])</f>
        <v>65</v>
      </c>
      <c r="K9" s="32">
        <f>IFERROR(SUM(LARGE(Table1481117[[#This Row],[Connacht Open 21]:[Irish Close 19-20]],{1,2,3})),0)</f>
        <v>65</v>
      </c>
      <c r="L9" s="32">
        <f>IFERROR(SUM(LARGE(Table1481117[[#This Row],[Connacht Open 21]:[Irish Close 19-20]],{1,2})/2*3),0)</f>
        <v>97.5</v>
      </c>
      <c r="M9" s="32">
        <f t="shared" si="0"/>
        <v>65</v>
      </c>
    </row>
    <row r="10" spans="1:13" x14ac:dyDescent="0.3">
      <c r="A10" s="30">
        <v>10</v>
      </c>
      <c r="B10" s="26" t="s">
        <v>187</v>
      </c>
      <c r="C10" s="32" t="s">
        <v>4</v>
      </c>
      <c r="D10" s="23">
        <v>3</v>
      </c>
      <c r="E10" s="23">
        <v>50</v>
      </c>
      <c r="F10" s="22"/>
      <c r="G10" s="53"/>
      <c r="H10" s="22"/>
      <c r="I10" s="22"/>
      <c r="J10" s="77">
        <f>SUM(Table1481117[[#This Row],[Connacht Open 21]:[Irish Close 19-20]])</f>
        <v>50</v>
      </c>
      <c r="K10" s="32">
        <f>IFERROR(SUM(LARGE(Table1481117[[#This Row],[Connacht Open 21]:[Irish Close 19-20]],{1,2,3})),0)</f>
        <v>0</v>
      </c>
      <c r="L10" s="32">
        <f>IFERROR(SUM(LARGE(Table1481117[[#This Row],[Connacht Open 21]:[Irish Close 19-20]],{1,2})/2*3),0)</f>
        <v>0</v>
      </c>
      <c r="M10" s="32">
        <f t="shared" si="0"/>
        <v>0</v>
      </c>
    </row>
    <row r="11" spans="1:13" x14ac:dyDescent="0.3">
      <c r="A11" s="30">
        <v>11</v>
      </c>
      <c r="B11" s="26" t="s">
        <v>105</v>
      </c>
      <c r="C11" s="32" t="s">
        <v>4</v>
      </c>
      <c r="D11" s="23">
        <v>3</v>
      </c>
      <c r="F11" s="22">
        <v>35</v>
      </c>
      <c r="G11" s="22">
        <v>0</v>
      </c>
      <c r="H11" s="22">
        <v>0</v>
      </c>
      <c r="I11" s="22">
        <v>0</v>
      </c>
      <c r="J11" s="77">
        <f>SUM(Table1481117[[#This Row],[Connacht Open 21]:[Irish Close 19-20]])</f>
        <v>35</v>
      </c>
      <c r="K11" s="32">
        <f>IFERROR(SUM(LARGE(Table1481117[[#This Row],[Connacht Open 21]:[Irish Close 19-20]],{1,2,3})),0)</f>
        <v>35</v>
      </c>
      <c r="L11" s="32">
        <f>IFERROR(SUM(LARGE(Table1481117[[#This Row],[Connacht Open 21]:[Irish Close 19-20]],{1,2})/2*3),0)</f>
        <v>52.5</v>
      </c>
      <c r="M11" s="32">
        <f t="shared" si="0"/>
        <v>35</v>
      </c>
    </row>
    <row r="12" spans="1:13" x14ac:dyDescent="0.3">
      <c r="A12" s="30">
        <v>12</v>
      </c>
      <c r="B12" s="46"/>
      <c r="C12" s="32" t="s">
        <v>4</v>
      </c>
      <c r="D12" s="23">
        <v>3</v>
      </c>
      <c r="F12" s="22">
        <v>0</v>
      </c>
      <c r="G12" s="53"/>
      <c r="H12" s="22">
        <v>0</v>
      </c>
      <c r="I12" s="22"/>
      <c r="J12" s="77">
        <f>SUM(Table1481117[[#This Row],[Connacht Open 21]:[Irish Close 19-20]])</f>
        <v>0</v>
      </c>
      <c r="K12" s="32">
        <f>IFERROR(SUM(LARGE(Table1481117[[#This Row],[Connacht Open 21]:[Irish Close 19-20]],{1,2,3})),0)</f>
        <v>0</v>
      </c>
      <c r="L12" s="32">
        <f>IFERROR(SUM(LARGE(Table1481117[[#This Row],[Connacht Open 21]:[Irish Close 19-20]],{1,2})/2*3),0)</f>
        <v>0</v>
      </c>
      <c r="M12" s="32">
        <f t="shared" si="0"/>
        <v>0</v>
      </c>
    </row>
    <row r="13" spans="1:13" x14ac:dyDescent="0.3">
      <c r="A13" s="30">
        <v>13</v>
      </c>
      <c r="B13" s="26"/>
      <c r="C13" s="32" t="s">
        <v>4</v>
      </c>
      <c r="D13" s="23">
        <v>3</v>
      </c>
      <c r="E13" s="23">
        <v>0</v>
      </c>
      <c r="F13" s="22"/>
      <c r="G13" s="53"/>
      <c r="H13" s="22"/>
      <c r="I13" s="22"/>
      <c r="J13" s="77">
        <f>SUM(Table1481117[[#This Row],[Connacht Open 21]:[Irish Close 19-20]])</f>
        <v>0</v>
      </c>
      <c r="K13" s="32">
        <f>IFERROR(SUM(LARGE(Table1481117[[#This Row],[Connacht Open 21]:[Irish Close 19-20]],{1,2,3})),0)</f>
        <v>0</v>
      </c>
      <c r="L13" s="32">
        <f>IFERROR(SUM(LARGE(Table1481117[[#This Row],[Connacht Open 21]:[Irish Close 19-20]],{1,2})/2*3),0)</f>
        <v>0</v>
      </c>
      <c r="M13" s="32">
        <f t="shared" si="0"/>
        <v>0</v>
      </c>
    </row>
    <row r="14" spans="1:13" x14ac:dyDescent="0.3">
      <c r="B14" s="26"/>
      <c r="D14" s="23">
        <v>3</v>
      </c>
      <c r="F14" s="22"/>
      <c r="G14" s="53"/>
      <c r="H14" s="22"/>
      <c r="I14" s="22"/>
      <c r="J14" s="77">
        <f>SUM(Table1481117[[#This Row],[Connacht Open 21]:[Irish Close 19-20]])</f>
        <v>0</v>
      </c>
      <c r="K14" s="32">
        <f>IFERROR(SUM(LARGE(Table1481117[[#This Row],[Connacht Open 21]:[Irish Close 19-20]],{1,2,3})),0)</f>
        <v>0</v>
      </c>
      <c r="L14" s="32">
        <f>IFERROR(SUM(LARGE(Table1481117[[#This Row],[Connacht Open 21]:[Irish Close 19-20]],{1,2})/2*3),0)</f>
        <v>0</v>
      </c>
      <c r="M14" s="32">
        <f t="shared" si="0"/>
        <v>0</v>
      </c>
    </row>
    <row r="15" spans="1:13" x14ac:dyDescent="0.3">
      <c r="B15" s="63" t="s">
        <v>118</v>
      </c>
      <c r="C15" s="34" t="s">
        <v>119</v>
      </c>
      <c r="D15" s="35"/>
      <c r="E15" s="34"/>
      <c r="F15" s="34"/>
    </row>
  </sheetData>
  <phoneticPr fontId="4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70" zoomScaleNormal="70" workbookViewId="0">
      <selection activeCell="B21" sqref="B21"/>
    </sheetView>
  </sheetViews>
  <sheetFormatPr defaultColWidth="8.7109375" defaultRowHeight="18.75" x14ac:dyDescent="0.3"/>
  <cols>
    <col min="1" max="1" width="8.7109375" style="32"/>
    <col min="2" max="2" width="23" style="38" customWidth="1"/>
    <col min="3" max="3" width="17.28515625" style="32" bestFit="1" customWidth="1"/>
    <col min="4" max="4" width="12.85546875" style="23" bestFit="1" customWidth="1"/>
    <col min="5" max="5" width="25" style="23" bestFit="1" customWidth="1"/>
    <col min="6" max="6" width="26" style="23" bestFit="1" customWidth="1"/>
    <col min="7" max="7" width="25" style="32" bestFit="1" customWidth="1"/>
    <col min="8" max="8" width="23.140625" style="32" bestFit="1" customWidth="1"/>
    <col min="9" max="9" width="21.5703125" style="32" bestFit="1" customWidth="1"/>
    <col min="10" max="10" width="17.28515625" style="77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6384" width="8.7109375" style="32"/>
  </cols>
  <sheetData>
    <row r="1" spans="1:13" s="29" customFormat="1" ht="30.75" customHeight="1" x14ac:dyDescent="0.25">
      <c r="A1" s="28" t="s">
        <v>18</v>
      </c>
      <c r="B1" s="26" t="s">
        <v>0</v>
      </c>
      <c r="C1" s="29" t="s">
        <v>2</v>
      </c>
      <c r="D1" s="29" t="s">
        <v>1</v>
      </c>
      <c r="E1" s="29" t="s">
        <v>206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26" t="s">
        <v>13</v>
      </c>
      <c r="C2" s="32" t="s">
        <v>4</v>
      </c>
      <c r="D2" s="23">
        <v>3</v>
      </c>
      <c r="E2" s="23">
        <v>0</v>
      </c>
      <c r="F2" s="22">
        <v>100</v>
      </c>
      <c r="G2" s="22">
        <v>140</v>
      </c>
      <c r="H2" s="22">
        <v>100</v>
      </c>
      <c r="I2" s="22">
        <v>0</v>
      </c>
      <c r="J2" s="77">
        <f>SUM(Table148111720[[#This Row],[Connacht Open 2021]:[Irish Close 19-20]])</f>
        <v>340</v>
      </c>
      <c r="K2" s="32">
        <f>IFERROR(SUM(LARGE(Table148111720[[#This Row],[Connacht Open 2021]:[Irish Close 19-20]],{1,2,3})),0)</f>
        <v>340</v>
      </c>
      <c r="L2" s="32">
        <f>IFERROR(SUM(LARGE(Table148111720[[#This Row],[Connacht Open 2021]:[Irish Close 19-20]],{1,2})/2*3),0)</f>
        <v>360</v>
      </c>
      <c r="M2" s="32">
        <f t="shared" ref="M2:M20" si="0">IF(D2=3,K2,L2)</f>
        <v>340</v>
      </c>
    </row>
    <row r="3" spans="1:13" x14ac:dyDescent="0.3">
      <c r="A3" s="30">
        <v>2</v>
      </c>
      <c r="B3" s="26" t="s">
        <v>12</v>
      </c>
      <c r="C3" s="32" t="s">
        <v>4</v>
      </c>
      <c r="D3" s="23">
        <v>3</v>
      </c>
      <c r="E3" s="23">
        <v>140</v>
      </c>
      <c r="F3" s="22">
        <v>70</v>
      </c>
      <c r="G3" s="22">
        <v>0</v>
      </c>
      <c r="H3" s="22">
        <v>0</v>
      </c>
      <c r="I3" s="22">
        <v>125</v>
      </c>
      <c r="J3" s="77">
        <f>SUM(Table148111720[[#This Row],[Connacht Open 2021]:[Irish Close 19-20]])</f>
        <v>335</v>
      </c>
      <c r="K3" s="32">
        <f>IFERROR(SUM(LARGE(Table148111720[[#This Row],[Connacht Open 2021]:[Irish Close 19-20]],{1,2,3})),0)</f>
        <v>335</v>
      </c>
      <c r="L3" s="32">
        <f>IFERROR(SUM(LARGE(Table148111720[[#This Row],[Connacht Open 2021]:[Irish Close 19-20]],{1,2})/2*3),0)</f>
        <v>397.5</v>
      </c>
      <c r="M3" s="32">
        <f t="shared" si="0"/>
        <v>335</v>
      </c>
    </row>
    <row r="4" spans="1:13" x14ac:dyDescent="0.3">
      <c r="A4" s="30">
        <v>3</v>
      </c>
      <c r="B4" s="26" t="s">
        <v>37</v>
      </c>
      <c r="C4" s="65" t="s">
        <v>4</v>
      </c>
      <c r="D4" s="23">
        <v>3</v>
      </c>
      <c r="E4" s="23">
        <v>0</v>
      </c>
      <c r="F4" s="22">
        <v>0</v>
      </c>
      <c r="G4" s="22">
        <v>0</v>
      </c>
      <c r="H4" s="22">
        <v>140</v>
      </c>
      <c r="I4" s="22">
        <v>175</v>
      </c>
      <c r="J4" s="77">
        <f>SUM(Table148111720[[#This Row],[Connacht Open 2021]:[Irish Close 19-20]])</f>
        <v>315</v>
      </c>
      <c r="K4" s="32">
        <f>IFERROR(SUM(LARGE(Table148111720[[#This Row],[Connacht Open 2021]:[Irish Close 19-20]],{1,2,3})),0)</f>
        <v>315</v>
      </c>
      <c r="L4" s="32">
        <f>IFERROR(SUM(LARGE(Table148111720[[#This Row],[Connacht Open 2021]:[Irish Close 19-20]],{1,2})/2*3),0)</f>
        <v>472.5</v>
      </c>
      <c r="M4" s="32">
        <f t="shared" si="0"/>
        <v>315</v>
      </c>
    </row>
    <row r="5" spans="1:13" x14ac:dyDescent="0.3">
      <c r="A5" s="30">
        <v>4</v>
      </c>
      <c r="B5" s="26" t="s">
        <v>108</v>
      </c>
      <c r="C5" s="32" t="s">
        <v>4</v>
      </c>
      <c r="D5" s="23">
        <v>3</v>
      </c>
      <c r="E5" s="23">
        <v>70</v>
      </c>
      <c r="F5" s="22">
        <v>30</v>
      </c>
      <c r="G5" s="22">
        <v>50</v>
      </c>
      <c r="H5" s="22">
        <v>70</v>
      </c>
      <c r="I5" s="22">
        <v>45</v>
      </c>
      <c r="J5" s="77">
        <f>SUM(Table148111720[[#This Row],[Connacht Open 2021]:[Irish Close 19-20]])</f>
        <v>265</v>
      </c>
      <c r="K5" s="32">
        <f>IFERROR(SUM(LARGE(Table148111720[[#This Row],[Connacht Open 2021]:[Irish Close 19-20]],{1,2,3})),0)</f>
        <v>190</v>
      </c>
      <c r="L5" s="32">
        <f>IFERROR(SUM(LARGE(Table148111720[[#This Row],[Connacht Open 2021]:[Irish Close 19-20]],{1,2})/2*3),0)</f>
        <v>210</v>
      </c>
      <c r="M5" s="32">
        <f t="shared" si="0"/>
        <v>190</v>
      </c>
    </row>
    <row r="6" spans="1:13" x14ac:dyDescent="0.3">
      <c r="A6" s="30">
        <v>5</v>
      </c>
      <c r="B6" s="26" t="s">
        <v>9</v>
      </c>
      <c r="C6" s="32" t="s">
        <v>4</v>
      </c>
      <c r="D6" s="23">
        <v>3</v>
      </c>
      <c r="E6" s="23">
        <v>100</v>
      </c>
      <c r="F6" s="22">
        <v>0</v>
      </c>
      <c r="G6" s="22">
        <v>100</v>
      </c>
      <c r="H6" s="22">
        <v>0</v>
      </c>
      <c r="I6" s="22">
        <v>0</v>
      </c>
      <c r="J6" s="77">
        <f>SUM(Table148111720[[#This Row],[Connacht Open 2021]:[Irish Close 19-20]])</f>
        <v>200</v>
      </c>
      <c r="K6" s="32">
        <f>IFERROR(SUM(LARGE(Table148111720[[#This Row],[Connacht Open 2021]:[Irish Close 19-20]],{1,2,3})),0)</f>
        <v>200</v>
      </c>
      <c r="L6" s="32">
        <f>IFERROR(SUM(LARGE(Table148111720[[#This Row],[Connacht Open 2021]:[Irish Close 19-20]],{1,2})/2*3),0)</f>
        <v>300</v>
      </c>
      <c r="M6" s="32">
        <f t="shared" si="0"/>
        <v>200</v>
      </c>
    </row>
    <row r="7" spans="1:13" x14ac:dyDescent="0.3">
      <c r="A7" s="30">
        <v>6</v>
      </c>
      <c r="B7" s="44" t="s">
        <v>39</v>
      </c>
      <c r="C7" s="34" t="s">
        <v>4</v>
      </c>
      <c r="D7" s="35">
        <v>3</v>
      </c>
      <c r="E7" s="23">
        <v>0</v>
      </c>
      <c r="F7" s="24">
        <v>40</v>
      </c>
      <c r="G7" s="22">
        <v>70</v>
      </c>
      <c r="H7" s="22">
        <v>0</v>
      </c>
      <c r="I7" s="22">
        <v>90</v>
      </c>
      <c r="J7" s="77">
        <f>SUM(Table148111720[[#This Row],[Connacht Open 2021]:[Irish Close 19-20]])</f>
        <v>200</v>
      </c>
      <c r="K7" s="32">
        <f>IFERROR(SUM(LARGE(Table148111720[[#This Row],[Connacht Open 2021]:[Irish Close 19-20]],{1,2,3})),0)</f>
        <v>200</v>
      </c>
      <c r="L7" s="32">
        <f>IFERROR(SUM(LARGE(Table148111720[[#This Row],[Connacht Open 2021]:[Irish Close 19-20]],{1,2})/2*3),0)</f>
        <v>240</v>
      </c>
      <c r="M7" s="32">
        <f t="shared" si="0"/>
        <v>200</v>
      </c>
    </row>
    <row r="8" spans="1:13" x14ac:dyDescent="0.3">
      <c r="A8" s="30">
        <v>7</v>
      </c>
      <c r="B8" s="26" t="s">
        <v>107</v>
      </c>
      <c r="C8" s="32" t="s">
        <v>4</v>
      </c>
      <c r="D8" s="23">
        <v>3</v>
      </c>
      <c r="E8" s="23">
        <v>0</v>
      </c>
      <c r="F8" s="22">
        <v>140</v>
      </c>
      <c r="G8" s="22">
        <v>0</v>
      </c>
      <c r="H8" s="22">
        <v>0</v>
      </c>
      <c r="I8" s="22">
        <v>0</v>
      </c>
      <c r="J8" s="77">
        <f>SUM(Table148111720[[#This Row],[Connacht Open 2021]:[Irish Close 19-20]])</f>
        <v>140</v>
      </c>
      <c r="K8" s="32">
        <f>IFERROR(SUM(LARGE(Table148111720[[#This Row],[Connacht Open 2021]:[Irish Close 19-20]],{1,2,3})),0)</f>
        <v>140</v>
      </c>
      <c r="L8" s="32">
        <f>IFERROR(SUM(LARGE(Table148111720[[#This Row],[Connacht Open 2021]:[Irish Close 19-20]],{1,2})/2*3),0)</f>
        <v>210</v>
      </c>
      <c r="M8" s="32">
        <f t="shared" si="0"/>
        <v>140</v>
      </c>
    </row>
    <row r="9" spans="1:13" x14ac:dyDescent="0.3">
      <c r="A9" s="30">
        <v>8</v>
      </c>
      <c r="B9" s="27" t="s">
        <v>120</v>
      </c>
      <c r="C9" s="23" t="s">
        <v>4</v>
      </c>
      <c r="D9" s="23">
        <v>3</v>
      </c>
      <c r="E9" s="23">
        <v>0</v>
      </c>
      <c r="F9" s="22">
        <v>20</v>
      </c>
      <c r="G9" s="22">
        <v>35</v>
      </c>
      <c r="H9" s="22">
        <v>0</v>
      </c>
      <c r="I9" s="22">
        <v>35</v>
      </c>
      <c r="J9" s="77">
        <f>SUM(Table148111720[[#This Row],[Connacht Open 2021]:[Irish Close 19-20]])</f>
        <v>90</v>
      </c>
      <c r="K9" s="32">
        <f>IFERROR(SUM(LARGE(Table148111720[[#This Row],[Connacht Open 2021]:[Irish Close 19-20]],{1,2,3})),0)</f>
        <v>90</v>
      </c>
      <c r="L9" s="32">
        <f>IFERROR(SUM(LARGE(Table148111720[[#This Row],[Connacht Open 2021]:[Irish Close 19-20]],{1,2})/2*3),0)</f>
        <v>105</v>
      </c>
      <c r="M9" s="32">
        <f t="shared" si="0"/>
        <v>90</v>
      </c>
    </row>
    <row r="10" spans="1:13" x14ac:dyDescent="0.3">
      <c r="A10" s="30">
        <v>9</v>
      </c>
      <c r="B10" s="26" t="s">
        <v>190</v>
      </c>
      <c r="C10" s="32" t="s">
        <v>4</v>
      </c>
      <c r="D10" s="23">
        <v>3</v>
      </c>
      <c r="E10" s="22">
        <v>50</v>
      </c>
      <c r="F10" s="22">
        <v>0</v>
      </c>
      <c r="G10" s="22">
        <v>0</v>
      </c>
      <c r="H10" s="22">
        <v>40</v>
      </c>
      <c r="I10" s="22">
        <v>0</v>
      </c>
      <c r="J10" s="77">
        <f>SUM(Table148111720[[#This Row],[Connacht Open 2021]:[Irish Close 19-20]])</f>
        <v>90</v>
      </c>
      <c r="K10" s="32">
        <f>IFERROR(SUM(LARGE(Table148111720[[#This Row],[Connacht Open 2021]:[Irish Close 19-20]],{1,2,3})),0)</f>
        <v>90</v>
      </c>
      <c r="L10" s="32">
        <f>IFERROR(SUM(LARGE(Table148111720[[#This Row],[Connacht Open 2021]:[Irish Close 19-20]],{1,2})/2*3),0)</f>
        <v>135</v>
      </c>
      <c r="M10" s="32">
        <f t="shared" si="0"/>
        <v>90</v>
      </c>
    </row>
    <row r="11" spans="1:13" x14ac:dyDescent="0.3">
      <c r="A11" s="30">
        <v>10</v>
      </c>
      <c r="B11" s="38" t="s">
        <v>189</v>
      </c>
      <c r="C11" s="32" t="s">
        <v>4</v>
      </c>
      <c r="D11" s="23">
        <v>3</v>
      </c>
      <c r="E11" s="23">
        <v>40</v>
      </c>
      <c r="F11" s="22">
        <v>0</v>
      </c>
      <c r="G11" s="22">
        <v>0</v>
      </c>
      <c r="H11" s="22">
        <v>50</v>
      </c>
      <c r="I11" s="22">
        <v>0</v>
      </c>
      <c r="J11" s="77">
        <f>SUM(Table148111720[[#This Row],[Connacht Open 2021]:[Irish Close 19-20]])</f>
        <v>90</v>
      </c>
      <c r="K11" s="32">
        <f>IFERROR(SUM(LARGE(Table148111720[[#This Row],[Connacht Open 2021]:[Irish Close 19-20]],{1,2,3})),0)</f>
        <v>90</v>
      </c>
      <c r="L11" s="32">
        <f>IFERROR(SUM(LARGE(Table148111720[[#This Row],[Connacht Open 2021]:[Irish Close 19-20]],{1,2})/2*3),0)</f>
        <v>135</v>
      </c>
      <c r="M11" s="32">
        <f t="shared" si="0"/>
        <v>90</v>
      </c>
    </row>
    <row r="12" spans="1:13" x14ac:dyDescent="0.3">
      <c r="A12" s="30">
        <v>11</v>
      </c>
      <c r="B12" s="26" t="s">
        <v>38</v>
      </c>
      <c r="C12" s="32" t="s">
        <v>4</v>
      </c>
      <c r="D12" s="23">
        <v>3</v>
      </c>
      <c r="E12" s="23">
        <v>0</v>
      </c>
      <c r="F12" s="22">
        <v>0</v>
      </c>
      <c r="G12" s="22">
        <v>35</v>
      </c>
      <c r="H12" s="22">
        <v>0</v>
      </c>
      <c r="I12" s="22">
        <v>50</v>
      </c>
      <c r="J12" s="77">
        <f>SUM(Table148111720[[#This Row],[Connacht Open 2021]:[Irish Close 19-20]])</f>
        <v>85</v>
      </c>
      <c r="K12" s="32">
        <f>IFERROR(SUM(LARGE(Table148111720[[#This Row],[Connacht Open 2021]:[Irish Close 19-20]],{1,2,3})),0)</f>
        <v>85</v>
      </c>
      <c r="L12" s="32">
        <f>IFERROR(SUM(LARGE(Table148111720[[#This Row],[Connacht Open 2021]:[Irish Close 19-20]],{1,2})/2*3),0)</f>
        <v>127.5</v>
      </c>
      <c r="M12" s="32">
        <f t="shared" si="0"/>
        <v>85</v>
      </c>
    </row>
    <row r="13" spans="1:13" x14ac:dyDescent="0.3">
      <c r="A13" s="30">
        <v>12</v>
      </c>
      <c r="B13" s="26" t="s">
        <v>146</v>
      </c>
      <c r="C13" s="23" t="s">
        <v>4</v>
      </c>
      <c r="D13" s="23">
        <v>3</v>
      </c>
      <c r="E13" s="23">
        <v>25</v>
      </c>
      <c r="F13" s="22">
        <v>0</v>
      </c>
      <c r="G13" s="22">
        <v>25</v>
      </c>
      <c r="H13" s="22">
        <v>0</v>
      </c>
      <c r="I13" s="22">
        <v>20</v>
      </c>
      <c r="J13" s="77">
        <f>SUM(Table148111720[[#This Row],[Connacht Open 2021]:[Irish Close 19-20]])</f>
        <v>70</v>
      </c>
      <c r="K13" s="32">
        <f>IFERROR(SUM(LARGE(Table148111720[[#This Row],[Connacht Open 2021]:[Irish Close 19-20]],{1,2,3})),0)</f>
        <v>70</v>
      </c>
      <c r="L13" s="32">
        <f>IFERROR(SUM(LARGE(Table148111720[[#This Row],[Connacht Open 2021]:[Irish Close 19-20]],{1,2})/2*3),0)</f>
        <v>75</v>
      </c>
      <c r="M13" s="32">
        <f t="shared" si="0"/>
        <v>70</v>
      </c>
    </row>
    <row r="14" spans="1:13" x14ac:dyDescent="0.3">
      <c r="A14" s="30">
        <v>13</v>
      </c>
      <c r="B14" s="38" t="s">
        <v>197</v>
      </c>
      <c r="C14" s="32" t="s">
        <v>4</v>
      </c>
      <c r="D14" s="23">
        <v>3</v>
      </c>
      <c r="E14" s="22">
        <v>35</v>
      </c>
      <c r="F14" s="22">
        <v>0</v>
      </c>
      <c r="G14" s="22">
        <v>0</v>
      </c>
      <c r="H14" s="22">
        <v>0</v>
      </c>
      <c r="I14" s="22">
        <v>0</v>
      </c>
      <c r="J14" s="77">
        <f>SUM(Table148111720[[#This Row],[Connacht Open 2021]:[Irish Close 19-20]])</f>
        <v>35</v>
      </c>
      <c r="K14" s="32">
        <f>IFERROR(SUM(LARGE(Table148111720[[#This Row],[Connacht Open 2021]:[Irish Close 19-20]],{1,2,3})),0)</f>
        <v>35</v>
      </c>
      <c r="L14" s="32">
        <f>IFERROR(SUM(LARGE(Table148111720[[#This Row],[Connacht Open 2021]:[Irish Close 19-20]],{1,2})/2*3),0)</f>
        <v>52.5</v>
      </c>
      <c r="M14" s="32">
        <f t="shared" si="0"/>
        <v>35</v>
      </c>
    </row>
    <row r="15" spans="1:13" x14ac:dyDescent="0.3">
      <c r="A15" s="30">
        <v>14</v>
      </c>
      <c r="B15" s="38" t="s">
        <v>191</v>
      </c>
      <c r="C15" s="32" t="s">
        <v>4</v>
      </c>
      <c r="D15" s="23">
        <v>3</v>
      </c>
      <c r="E15" s="22">
        <v>30</v>
      </c>
      <c r="F15" s="22">
        <v>0</v>
      </c>
      <c r="G15" s="22">
        <v>0</v>
      </c>
      <c r="H15" s="22">
        <v>0</v>
      </c>
      <c r="I15" s="22">
        <v>0</v>
      </c>
      <c r="J15" s="77">
        <f>SUM(Table148111720[[#This Row],[Connacht Open 2021]:[Irish Close 19-20]])</f>
        <v>30</v>
      </c>
      <c r="K15" s="32">
        <f>IFERROR(SUM(LARGE(Table148111720[[#This Row],[Connacht Open 2021]:[Irish Close 19-20]],{1,2,3})),0)</f>
        <v>30</v>
      </c>
      <c r="L15" s="32">
        <f>IFERROR(SUM(LARGE(Table148111720[[#This Row],[Connacht Open 2021]:[Irish Close 19-20]],{1,2})/2*3),0)</f>
        <v>45</v>
      </c>
      <c r="M15" s="32">
        <f t="shared" si="0"/>
        <v>30</v>
      </c>
    </row>
    <row r="16" spans="1:13" x14ac:dyDescent="0.3">
      <c r="A16" s="30">
        <v>15</v>
      </c>
      <c r="B16" s="26" t="s">
        <v>154</v>
      </c>
      <c r="C16" s="32" t="s">
        <v>4</v>
      </c>
      <c r="D16" s="23">
        <v>3</v>
      </c>
      <c r="E16" s="23">
        <v>0</v>
      </c>
      <c r="F16" s="22">
        <v>0</v>
      </c>
      <c r="G16" s="25">
        <v>30</v>
      </c>
      <c r="H16" s="22">
        <v>0</v>
      </c>
      <c r="I16" s="22">
        <v>0</v>
      </c>
      <c r="J16" s="77">
        <f>SUM(Table148111720[[#This Row],[Connacht Open 2021]:[Irish Close 19-20]])</f>
        <v>30</v>
      </c>
      <c r="K16" s="32">
        <f>IFERROR(SUM(LARGE(Table148111720[[#This Row],[Connacht Open 2021]:[Irish Close 19-20]],{1,2,3})),0)</f>
        <v>30</v>
      </c>
      <c r="L16" s="32">
        <f>IFERROR(SUM(LARGE(Table148111720[[#This Row],[Connacht Open 2021]:[Irish Close 19-20]],{1,2})/2*3),0)</f>
        <v>45</v>
      </c>
      <c r="M16" s="32">
        <f t="shared" si="0"/>
        <v>30</v>
      </c>
    </row>
    <row r="17" spans="1:13" x14ac:dyDescent="0.3">
      <c r="A17" s="30"/>
      <c r="B17" s="26"/>
      <c r="C17" s="32" t="s">
        <v>4</v>
      </c>
      <c r="D17" s="23">
        <v>3</v>
      </c>
      <c r="E17" s="23">
        <v>0</v>
      </c>
      <c r="F17" s="22">
        <v>0</v>
      </c>
      <c r="G17" s="25">
        <v>0</v>
      </c>
      <c r="H17" s="22">
        <v>0</v>
      </c>
      <c r="I17" s="22">
        <v>0</v>
      </c>
      <c r="J17" s="77">
        <f>SUM(Table148111720[[#This Row],[Connacht Open 2021]:[Irish Close 19-20]])</f>
        <v>0</v>
      </c>
      <c r="K17" s="32">
        <f>IFERROR(SUM(LARGE(Table148111720[[#This Row],[Connacht Open 2021]:[Irish Close 19-20]],{1,2,3})),0)</f>
        <v>0</v>
      </c>
      <c r="L17" s="32">
        <f>IFERROR(SUM(LARGE(Table148111720[[#This Row],[Connacht Open 2021]:[Irish Close 19-20]],{1,2})/2*3),0)</f>
        <v>0</v>
      </c>
      <c r="M17" s="32">
        <f t="shared" si="0"/>
        <v>0</v>
      </c>
    </row>
    <row r="18" spans="1:13" x14ac:dyDescent="0.3">
      <c r="A18" s="30"/>
      <c r="B18" s="26"/>
      <c r="C18" s="32" t="s">
        <v>4</v>
      </c>
      <c r="D18" s="23">
        <v>3</v>
      </c>
      <c r="E18" s="23">
        <v>0</v>
      </c>
      <c r="F18" s="22">
        <v>0</v>
      </c>
      <c r="G18" s="22">
        <v>0</v>
      </c>
      <c r="H18" s="22">
        <v>0</v>
      </c>
      <c r="I18" s="22">
        <v>0</v>
      </c>
      <c r="J18" s="77">
        <f>SUM(Table148111720[[#This Row],[Connacht Open 2021]:[Irish Close 19-20]])</f>
        <v>0</v>
      </c>
      <c r="K18" s="32">
        <f>IFERROR(SUM(LARGE(Table148111720[[#This Row],[Connacht Open 2021]:[Irish Close 19-20]],{1,2,3})),0)</f>
        <v>0</v>
      </c>
      <c r="L18" s="32">
        <f>IFERROR(SUM(LARGE(Table148111720[[#This Row],[Connacht Open 2021]:[Irish Close 19-20]],{1,2})/2*3),0)</f>
        <v>0</v>
      </c>
      <c r="M18" s="32">
        <f t="shared" si="0"/>
        <v>0</v>
      </c>
    </row>
    <row r="19" spans="1:13" x14ac:dyDescent="0.3">
      <c r="A19" s="30"/>
      <c r="B19" s="26"/>
      <c r="C19" s="32" t="s">
        <v>4</v>
      </c>
      <c r="D19" s="23">
        <v>3</v>
      </c>
      <c r="E19" s="23">
        <v>0</v>
      </c>
      <c r="F19" s="22">
        <v>0</v>
      </c>
      <c r="G19" s="22">
        <v>0</v>
      </c>
      <c r="H19" s="22">
        <v>0</v>
      </c>
      <c r="I19" s="22">
        <v>0</v>
      </c>
      <c r="J19" s="77">
        <f>SUM(Table148111720[[#This Row],[Connacht Open 2021]:[Irish Close 19-20]])</f>
        <v>0</v>
      </c>
      <c r="K19" s="32">
        <f>IFERROR(SUM(LARGE(Table148111720[[#This Row],[Connacht Open 2021]:[Irish Close 19-20]],{1,2,3})),0)</f>
        <v>0</v>
      </c>
      <c r="L19" s="32">
        <f>IFERROR(SUM(LARGE(Table148111720[[#This Row],[Connacht Open 2021]:[Irish Close 19-20]],{1,2})/2*3),0)</f>
        <v>0</v>
      </c>
      <c r="M19" s="32">
        <f t="shared" si="0"/>
        <v>0</v>
      </c>
    </row>
    <row r="20" spans="1:13" x14ac:dyDescent="0.3">
      <c r="A20" s="30"/>
      <c r="B20" s="26"/>
      <c r="C20" s="32" t="s">
        <v>4</v>
      </c>
      <c r="D20" s="23">
        <v>3</v>
      </c>
      <c r="E20" s="23">
        <v>0</v>
      </c>
      <c r="F20" s="22">
        <v>0</v>
      </c>
      <c r="G20" s="22">
        <v>0</v>
      </c>
      <c r="H20" s="22">
        <v>0</v>
      </c>
      <c r="I20" s="22">
        <v>0</v>
      </c>
      <c r="J20" s="77">
        <f>SUM(Table148111720[[#This Row],[Connacht Open 2021]:[Irish Close 19-20]])</f>
        <v>0</v>
      </c>
      <c r="K20" s="32">
        <f>IFERROR(SUM(LARGE(Table148111720[[#This Row],[Connacht Open 2021]:[Irish Close 19-20]],{1,2,3})),0)</f>
        <v>0</v>
      </c>
      <c r="L20" s="32">
        <f>IFERROR(SUM(LARGE(Table148111720[[#This Row],[Connacht Open 2021]:[Irish Close 19-20]],{1,2})/2*3),0)</f>
        <v>0</v>
      </c>
      <c r="M20" s="32">
        <f t="shared" si="0"/>
        <v>0</v>
      </c>
    </row>
    <row r="22" spans="1:13" x14ac:dyDescent="0.3">
      <c r="B22" s="63" t="s">
        <v>118</v>
      </c>
      <c r="C22" s="34" t="s">
        <v>119</v>
      </c>
      <c r="D22" s="35"/>
      <c r="E22" s="35"/>
      <c r="F22" s="3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="70" zoomScaleNormal="70" workbookViewId="0">
      <selection activeCell="H1" sqref="H1"/>
    </sheetView>
  </sheetViews>
  <sheetFormatPr defaultColWidth="8.7109375" defaultRowHeight="18.75" x14ac:dyDescent="0.3"/>
  <cols>
    <col min="1" max="1" width="8.7109375" style="32"/>
    <col min="2" max="2" width="23" style="39" customWidth="1"/>
    <col min="3" max="3" width="17.28515625" style="32" bestFit="1" customWidth="1"/>
    <col min="4" max="4" width="12.85546875" style="23" bestFit="1" customWidth="1"/>
    <col min="5" max="5" width="25" style="32" bestFit="1" customWidth="1"/>
    <col min="6" max="6" width="26" style="32" bestFit="1" customWidth="1"/>
    <col min="7" max="7" width="25" style="32" bestFit="1" customWidth="1"/>
    <col min="8" max="8" width="23.140625" style="32" bestFit="1" customWidth="1"/>
    <col min="9" max="9" width="21.5703125" style="32" bestFit="1" customWidth="1"/>
    <col min="10" max="10" width="17.28515625" style="77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6384" width="8.7109375" style="32"/>
  </cols>
  <sheetData>
    <row r="1" spans="1:13" s="29" customFormat="1" ht="65.25" customHeight="1" x14ac:dyDescent="0.25">
      <c r="A1" s="28" t="s">
        <v>18</v>
      </c>
      <c r="B1" s="31" t="s">
        <v>0</v>
      </c>
      <c r="C1" s="29" t="s">
        <v>2</v>
      </c>
      <c r="D1" s="29" t="s">
        <v>1</v>
      </c>
      <c r="E1" s="29" t="s">
        <v>205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31" t="s">
        <v>46</v>
      </c>
      <c r="C2" s="32" t="s">
        <v>4</v>
      </c>
      <c r="D2" s="23">
        <v>3</v>
      </c>
      <c r="E2" s="32">
        <v>140</v>
      </c>
      <c r="F2" s="22">
        <v>100</v>
      </c>
      <c r="G2" s="22">
        <v>0</v>
      </c>
      <c r="H2" s="22">
        <v>100</v>
      </c>
      <c r="I2" s="22">
        <v>175</v>
      </c>
      <c r="J2" s="77">
        <f>SUM(Table148111722[[#This Row],[Connacht Open]:[Irish Close 19-20]])</f>
        <v>515</v>
      </c>
      <c r="K2" s="32">
        <f>IFERROR(SUM(LARGE(Table148111722[[#This Row],[Connacht Open]:[Irish Close 19-20]],{1,2,3})),0)</f>
        <v>415</v>
      </c>
      <c r="L2" s="32">
        <f>IFERROR(SUM(LARGE(Table148111722[[#This Row],[Connacht Open]:[Irish Close 19-20]],{1,2})/2*3),0)</f>
        <v>472.5</v>
      </c>
      <c r="M2" s="32">
        <f t="shared" ref="M2:M11" si="0">IF(D2=3,K2,L2)</f>
        <v>415</v>
      </c>
    </row>
    <row r="3" spans="1:13" x14ac:dyDescent="0.3">
      <c r="A3" s="30">
        <v>2</v>
      </c>
      <c r="B3" s="31" t="s">
        <v>47</v>
      </c>
      <c r="C3" s="32" t="s">
        <v>4</v>
      </c>
      <c r="D3" s="23">
        <v>3</v>
      </c>
      <c r="E3" s="32">
        <v>0</v>
      </c>
      <c r="F3" s="22">
        <v>0</v>
      </c>
      <c r="G3" s="22">
        <v>140</v>
      </c>
      <c r="H3" s="22">
        <v>40</v>
      </c>
      <c r="I3" s="22">
        <v>125</v>
      </c>
      <c r="J3" s="77">
        <f>SUM(Table148111722[[#This Row],[Connacht Open]:[Irish Close 19-20]])</f>
        <v>305</v>
      </c>
      <c r="K3" s="32">
        <f>IFERROR(SUM(LARGE(Table148111722[[#This Row],[Connacht Open]:[Irish Close 19-20]],{1,2,3})),0)</f>
        <v>305</v>
      </c>
      <c r="L3" s="32">
        <f>IFERROR(SUM(LARGE(Table148111722[[#This Row],[Connacht Open]:[Irish Close 19-20]],{1,2})/2*3),0)</f>
        <v>397.5</v>
      </c>
      <c r="M3" s="32">
        <f t="shared" si="0"/>
        <v>305</v>
      </c>
    </row>
    <row r="4" spans="1:13" x14ac:dyDescent="0.3">
      <c r="A4" s="30">
        <v>3</v>
      </c>
      <c r="B4" s="26" t="s">
        <v>89</v>
      </c>
      <c r="C4" s="32" t="s">
        <v>4</v>
      </c>
      <c r="D4" s="23">
        <v>3</v>
      </c>
      <c r="E4" s="32">
        <v>70</v>
      </c>
      <c r="F4" s="22">
        <v>70</v>
      </c>
      <c r="G4" s="22">
        <v>0</v>
      </c>
      <c r="H4" s="22">
        <v>0</v>
      </c>
      <c r="I4" s="22">
        <v>125</v>
      </c>
      <c r="J4" s="77">
        <f>SUM(Table148111722[[#This Row],[Connacht Open]:[Irish Close 19-20]])</f>
        <v>265</v>
      </c>
      <c r="K4" s="32">
        <f>IFERROR(SUM(LARGE(Table148111722[[#This Row],[Connacht Open]:[Irish Close 19-20]],{1,2,3})),0)</f>
        <v>265</v>
      </c>
      <c r="L4" s="32">
        <f>IFERROR(SUM(LARGE(Table148111722[[#This Row],[Connacht Open]:[Irish Close 19-20]],{1,2})/2*3),0)</f>
        <v>292.5</v>
      </c>
      <c r="M4" s="32">
        <f t="shared" si="0"/>
        <v>265</v>
      </c>
    </row>
    <row r="5" spans="1:13" x14ac:dyDescent="0.3">
      <c r="A5" s="30">
        <v>4</v>
      </c>
      <c r="B5" s="31" t="s">
        <v>52</v>
      </c>
      <c r="C5" s="32" t="s">
        <v>4</v>
      </c>
      <c r="D5" s="23">
        <v>3</v>
      </c>
      <c r="E5" s="32">
        <v>100</v>
      </c>
      <c r="F5" s="22">
        <v>70</v>
      </c>
      <c r="G5" s="22">
        <v>0</v>
      </c>
      <c r="H5" s="22">
        <v>70</v>
      </c>
      <c r="I5" s="22">
        <v>0</v>
      </c>
      <c r="J5" s="77">
        <f>SUM(Table148111722[[#This Row],[Connacht Open]:[Irish Close 19-20]])</f>
        <v>240</v>
      </c>
      <c r="K5" s="32">
        <f>IFERROR(SUM(LARGE(Table148111722[[#This Row],[Connacht Open]:[Irish Close 19-20]],{1,2,3})),0)</f>
        <v>240</v>
      </c>
      <c r="L5" s="32">
        <f>IFERROR(SUM(LARGE(Table148111722[[#This Row],[Connacht Open]:[Irish Close 19-20]],{1,2})/2*3),0)</f>
        <v>255</v>
      </c>
      <c r="M5" s="32">
        <f t="shared" si="0"/>
        <v>240</v>
      </c>
    </row>
    <row r="6" spans="1:13" x14ac:dyDescent="0.3">
      <c r="A6" s="30">
        <v>5</v>
      </c>
      <c r="B6" s="31" t="s">
        <v>54</v>
      </c>
      <c r="C6" s="32" t="s">
        <v>4</v>
      </c>
      <c r="D6" s="23">
        <v>3</v>
      </c>
      <c r="E6" s="32">
        <v>0</v>
      </c>
      <c r="F6" s="22">
        <v>140</v>
      </c>
      <c r="G6" s="22">
        <v>0</v>
      </c>
      <c r="H6" s="22">
        <v>0</v>
      </c>
      <c r="I6" s="22">
        <v>0</v>
      </c>
      <c r="J6" s="77">
        <f>SUM(Table148111722[[#This Row],[Connacht Open]:[Irish Close 19-20]])</f>
        <v>140</v>
      </c>
      <c r="K6" s="32">
        <f>IFERROR(SUM(LARGE(Table148111722[[#This Row],[Connacht Open]:[Irish Close 19-20]],{1,2,3})),0)</f>
        <v>140</v>
      </c>
      <c r="L6" s="32">
        <f>IFERROR(SUM(LARGE(Table148111722[[#This Row],[Connacht Open]:[Irish Close 19-20]],{1,2})/2*3),0)</f>
        <v>210</v>
      </c>
      <c r="M6" s="32">
        <f t="shared" si="0"/>
        <v>140</v>
      </c>
    </row>
    <row r="7" spans="1:13" x14ac:dyDescent="0.3">
      <c r="A7" s="30">
        <v>6</v>
      </c>
      <c r="B7" s="31" t="s">
        <v>165</v>
      </c>
      <c r="D7" s="23">
        <v>3</v>
      </c>
      <c r="E7" s="32">
        <v>0</v>
      </c>
      <c r="F7" s="22">
        <v>0</v>
      </c>
      <c r="G7" s="53">
        <v>0</v>
      </c>
      <c r="H7" s="22">
        <v>140</v>
      </c>
      <c r="I7" s="22">
        <v>0</v>
      </c>
      <c r="J7" s="77">
        <f>SUM(Table148111722[[#This Row],[Connacht Open]:[Irish Close 19-20]])</f>
        <v>140</v>
      </c>
      <c r="K7" s="32">
        <f>IFERROR(SUM(LARGE(Table148111722[[#This Row],[Connacht Open]:[Irish Close 19-20]],{1,2,3})),0)</f>
        <v>140</v>
      </c>
      <c r="L7" s="32">
        <f>IFERROR(SUM(LARGE(Table148111722[[#This Row],[Connacht Open]:[Irish Close 19-20]],{1,2})/2*3),0)</f>
        <v>210</v>
      </c>
      <c r="M7" s="32">
        <f t="shared" si="0"/>
        <v>140</v>
      </c>
    </row>
    <row r="8" spans="1:13" x14ac:dyDescent="0.3">
      <c r="A8" s="30">
        <v>7</v>
      </c>
      <c r="B8" s="31" t="s">
        <v>174</v>
      </c>
      <c r="C8" s="32" t="s">
        <v>4</v>
      </c>
      <c r="D8" s="23">
        <v>3</v>
      </c>
      <c r="E8" s="32">
        <v>0</v>
      </c>
      <c r="F8" s="22">
        <v>0</v>
      </c>
      <c r="G8" s="53">
        <v>0</v>
      </c>
      <c r="H8" s="22">
        <v>0</v>
      </c>
      <c r="I8" s="22">
        <v>90</v>
      </c>
      <c r="J8" s="77">
        <f>SUM(Table148111722[[#This Row],[Connacht Open]:[Irish Close 19-20]])</f>
        <v>90</v>
      </c>
      <c r="K8" s="32">
        <f>IFERROR(SUM(LARGE(Table148111722[[#This Row],[Connacht Open]:[Irish Close 19-20]],{1,2,3})),0)</f>
        <v>90</v>
      </c>
      <c r="L8" s="32">
        <f>IFERROR(SUM(LARGE(Table148111722[[#This Row],[Connacht Open]:[Irish Close 19-20]],{1,2})/2*3),0)</f>
        <v>135</v>
      </c>
      <c r="M8" s="32">
        <f t="shared" si="0"/>
        <v>90</v>
      </c>
    </row>
    <row r="9" spans="1:13" x14ac:dyDescent="0.3">
      <c r="A9" s="30">
        <v>8</v>
      </c>
      <c r="B9" s="31" t="s">
        <v>175</v>
      </c>
      <c r="C9" s="32" t="s">
        <v>4</v>
      </c>
      <c r="D9" s="23">
        <v>3</v>
      </c>
      <c r="E9" s="32">
        <v>0</v>
      </c>
      <c r="F9" s="22">
        <v>0</v>
      </c>
      <c r="G9" s="53">
        <v>0</v>
      </c>
      <c r="H9" s="22">
        <v>0</v>
      </c>
      <c r="I9" s="22">
        <v>65</v>
      </c>
      <c r="J9" s="77">
        <f>SUM(Table148111722[[#This Row],[Connacht Open]:[Irish Close 19-20]])</f>
        <v>65</v>
      </c>
      <c r="K9" s="32">
        <f>IFERROR(SUM(LARGE(Table148111722[[#This Row],[Connacht Open]:[Irish Close 19-20]],{1,2,3})),0)</f>
        <v>65</v>
      </c>
      <c r="L9" s="32">
        <f>IFERROR(SUM(LARGE(Table148111722[[#This Row],[Connacht Open]:[Irish Close 19-20]],{1,2})/2*3),0)</f>
        <v>97.5</v>
      </c>
      <c r="M9" s="32">
        <f t="shared" si="0"/>
        <v>65</v>
      </c>
    </row>
    <row r="10" spans="1:13" x14ac:dyDescent="0.3">
      <c r="A10" s="30"/>
      <c r="B10" s="45" t="s">
        <v>51</v>
      </c>
      <c r="C10" s="32" t="s">
        <v>4</v>
      </c>
      <c r="D10" s="23">
        <v>3</v>
      </c>
      <c r="E10" s="32">
        <v>0</v>
      </c>
      <c r="F10" s="22">
        <v>0</v>
      </c>
      <c r="G10" s="53">
        <v>0</v>
      </c>
      <c r="H10" s="22">
        <v>0</v>
      </c>
      <c r="I10" s="22">
        <v>50</v>
      </c>
      <c r="J10" s="77">
        <f>SUM(Table148111722[[#This Row],[Connacht Open]:[Irish Close 19-20]])</f>
        <v>50</v>
      </c>
      <c r="K10" s="32">
        <f>IFERROR(SUM(LARGE(Table148111722[[#This Row],[Connacht Open]:[Irish Close 19-20]],{1,2,3})),0)</f>
        <v>50</v>
      </c>
      <c r="L10" s="32">
        <f>IFERROR(SUM(LARGE(Table148111722[[#This Row],[Connacht Open]:[Irish Close 19-20]],{1,2})/2*3),0)</f>
        <v>75</v>
      </c>
      <c r="M10" s="86">
        <f t="shared" si="0"/>
        <v>50</v>
      </c>
    </row>
    <row r="11" spans="1:13" x14ac:dyDescent="0.3">
      <c r="A11" s="30">
        <v>9</v>
      </c>
      <c r="B11" s="31" t="s">
        <v>109</v>
      </c>
      <c r="C11" s="32" t="s">
        <v>4</v>
      </c>
      <c r="D11" s="23">
        <v>3</v>
      </c>
      <c r="E11" s="32">
        <v>0</v>
      </c>
      <c r="F11" s="22">
        <v>50</v>
      </c>
      <c r="G11" s="22">
        <v>0</v>
      </c>
      <c r="H11" s="22">
        <v>0</v>
      </c>
      <c r="I11" s="22">
        <v>0</v>
      </c>
      <c r="J11" s="77">
        <f>SUM(Table148111722[[#This Row],[Connacht Open]:[Irish Close 19-20]])</f>
        <v>50</v>
      </c>
      <c r="K11" s="32">
        <f>IFERROR(SUM(LARGE(Table148111722[[#This Row],[Connacht Open]:[Irish Close 19-20]],{1,2,3})),0)</f>
        <v>50</v>
      </c>
      <c r="L11" s="32">
        <f>IFERROR(SUM(LARGE(Table148111722[[#This Row],[Connacht Open]:[Irish Close 19-20]],{1,2})/2*3),0)</f>
        <v>75</v>
      </c>
      <c r="M11" s="32">
        <f t="shared" si="0"/>
        <v>50</v>
      </c>
    </row>
    <row r="12" spans="1:13" x14ac:dyDescent="0.3">
      <c r="B12" s="43" t="s">
        <v>118</v>
      </c>
      <c r="C12" s="34" t="s">
        <v>119</v>
      </c>
      <c r="D12" s="35"/>
      <c r="E12" s="34"/>
      <c r="F12" s="34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70" zoomScaleNormal="70" workbookViewId="0">
      <selection activeCell="M4" sqref="M4"/>
    </sheetView>
  </sheetViews>
  <sheetFormatPr defaultColWidth="9.140625" defaultRowHeight="18.75" x14ac:dyDescent="0.3"/>
  <cols>
    <col min="1" max="1" width="9.140625" style="32"/>
    <col min="2" max="2" width="23" style="39" customWidth="1"/>
    <col min="3" max="3" width="17.28515625" style="32" bestFit="1" customWidth="1"/>
    <col min="4" max="4" width="12.85546875" style="23" bestFit="1" customWidth="1"/>
    <col min="5" max="5" width="25" style="23" bestFit="1" customWidth="1"/>
    <col min="6" max="6" width="32.7109375" style="32" bestFit="1" customWidth="1"/>
    <col min="7" max="7" width="25" style="23" bestFit="1" customWidth="1"/>
    <col min="8" max="8" width="27.5703125" style="32" customWidth="1"/>
    <col min="9" max="9" width="21.5703125" style="32" bestFit="1" customWidth="1"/>
    <col min="10" max="10" width="17.28515625" style="77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6384" width="9.140625" style="32"/>
  </cols>
  <sheetData>
    <row r="1" spans="1:13" s="29" customFormat="1" ht="38.25" customHeight="1" x14ac:dyDescent="0.25">
      <c r="A1" s="28" t="s">
        <v>18</v>
      </c>
      <c r="B1" s="31" t="s">
        <v>0</v>
      </c>
      <c r="C1" s="29" t="s">
        <v>2</v>
      </c>
      <c r="D1" s="29" t="s">
        <v>1</v>
      </c>
      <c r="E1" s="50" t="s">
        <v>206</v>
      </c>
      <c r="F1" s="29" t="s">
        <v>116</v>
      </c>
      <c r="G1" s="29" t="s">
        <v>149</v>
      </c>
      <c r="H1" s="1" t="s">
        <v>227</v>
      </c>
      <c r="I1" s="29" t="s">
        <v>176</v>
      </c>
      <c r="J1" s="76" t="s">
        <v>7</v>
      </c>
      <c r="K1" s="29" t="s">
        <v>5</v>
      </c>
      <c r="L1" s="29" t="s">
        <v>6</v>
      </c>
      <c r="M1" s="29" t="s">
        <v>8</v>
      </c>
    </row>
    <row r="2" spans="1:13" x14ac:dyDescent="0.3">
      <c r="A2" s="30">
        <v>1</v>
      </c>
      <c r="B2" s="31" t="s">
        <v>56</v>
      </c>
      <c r="C2" s="32" t="s">
        <v>4</v>
      </c>
      <c r="D2" s="23">
        <v>3</v>
      </c>
      <c r="E2" s="47">
        <v>100</v>
      </c>
      <c r="F2" s="22">
        <v>70</v>
      </c>
      <c r="G2" s="22">
        <v>140</v>
      </c>
      <c r="H2" s="22">
        <v>70</v>
      </c>
      <c r="I2" s="22">
        <v>50</v>
      </c>
      <c r="J2" s="77">
        <f>SUM(Table148111724[[#This Row],[Connacht Open 2021]:[Irish Close 19-20]])</f>
        <v>430</v>
      </c>
      <c r="K2" s="32">
        <f>IFERROR(SUM(LARGE(Table148111724[[#This Row],[Connacht Open 2021]:[Irish Close 19-20]],{1,2,3})),0)</f>
        <v>310</v>
      </c>
      <c r="L2" s="32">
        <f>IFERROR(SUM(LARGE(Table148111724[[#This Row],[Connacht Open 2021]:[Irish Close 19-20]],{1,2})/2*3),0)</f>
        <v>360</v>
      </c>
      <c r="M2" s="32">
        <f t="shared" ref="M2:M24" si="0">IF(D2=3,K2,L2)</f>
        <v>310</v>
      </c>
    </row>
    <row r="3" spans="1:13" x14ac:dyDescent="0.3">
      <c r="A3" s="30">
        <v>2</v>
      </c>
      <c r="B3" s="26" t="s">
        <v>10</v>
      </c>
      <c r="C3" s="32" t="s">
        <v>4</v>
      </c>
      <c r="D3" s="23">
        <v>3</v>
      </c>
      <c r="E3" s="23">
        <v>0</v>
      </c>
      <c r="F3" s="22">
        <v>50</v>
      </c>
      <c r="G3" s="22">
        <v>0</v>
      </c>
      <c r="H3" s="22">
        <v>100</v>
      </c>
      <c r="I3" s="22">
        <v>65</v>
      </c>
      <c r="J3" s="77">
        <f>SUM(Table148111720[[#This Row],[Connacht Open 2021]:[Irish Close 19-20]])</f>
        <v>335</v>
      </c>
      <c r="K3" s="32">
        <f>IFERROR(SUM(LARGE(Table148111720[[#This Row],[Connacht Open 2021]:[Irish Close 19-20]],{1,2,3})),0)</f>
        <v>335</v>
      </c>
      <c r="L3" s="32">
        <f>IFERROR(SUM(LARGE(Table148111720[[#This Row],[Connacht Open 2021]:[Irish Close 19-20]],{1,2})/2*3),0)</f>
        <v>397.5</v>
      </c>
      <c r="M3" s="32">
        <f t="shared" si="0"/>
        <v>335</v>
      </c>
    </row>
    <row r="4" spans="1:13" x14ac:dyDescent="0.3">
      <c r="A4" s="30">
        <v>3</v>
      </c>
      <c r="B4" s="31" t="s">
        <v>112</v>
      </c>
      <c r="C4" s="32" t="s">
        <v>4</v>
      </c>
      <c r="D4" s="23">
        <v>3</v>
      </c>
      <c r="F4" s="22">
        <v>140</v>
      </c>
      <c r="G4" s="22">
        <v>0</v>
      </c>
      <c r="H4" s="22">
        <v>140</v>
      </c>
      <c r="I4" s="22">
        <v>0</v>
      </c>
      <c r="J4" s="77">
        <f>SUM(Table148111724[[#This Row],[Connacht Open 2021]:[Irish Close 19-20]])</f>
        <v>280</v>
      </c>
      <c r="K4" s="32">
        <f>IFERROR(SUM(LARGE(Table148111724[[#This Row],[Connacht Open 2021]:[Irish Close 19-20]],{1,2,3})),0)</f>
        <v>280</v>
      </c>
      <c r="L4" s="32">
        <f>IFERROR(SUM(LARGE(Table148111724[[#This Row],[Connacht Open 2021]:[Irish Close 19-20]],{1,2})/2*3),0)</f>
        <v>420</v>
      </c>
      <c r="M4" s="32">
        <f t="shared" si="0"/>
        <v>280</v>
      </c>
    </row>
    <row r="5" spans="1:13" x14ac:dyDescent="0.3">
      <c r="A5" s="30">
        <v>4</v>
      </c>
      <c r="B5" s="88" t="s">
        <v>15</v>
      </c>
      <c r="C5" s="34" t="s">
        <v>4</v>
      </c>
      <c r="D5" s="35">
        <v>3</v>
      </c>
      <c r="E5" s="23">
        <v>30</v>
      </c>
      <c r="F5" s="24">
        <v>40</v>
      </c>
      <c r="G5" s="22">
        <v>70</v>
      </c>
      <c r="H5" s="22">
        <v>50</v>
      </c>
      <c r="I5" s="22">
        <v>35</v>
      </c>
      <c r="J5" s="77">
        <f>SUM(Table148111724[[#This Row],[Connacht Open 2021]:[Irish Close 19-20]])</f>
        <v>225</v>
      </c>
      <c r="K5" s="32">
        <f>IFERROR(SUM(LARGE(Table148111724[[#This Row],[Connacht Open 2021]:[Irish Close 19-20]],{1,2,3})),0)</f>
        <v>160</v>
      </c>
      <c r="L5" s="32">
        <f>IFERROR(SUM(LARGE(Table148111724[[#This Row],[Connacht Open 2021]:[Irish Close 19-20]],{1,2})/2*3),0)</f>
        <v>180</v>
      </c>
      <c r="M5" s="32">
        <f t="shared" si="0"/>
        <v>160</v>
      </c>
    </row>
    <row r="6" spans="1:13" x14ac:dyDescent="0.3">
      <c r="A6" s="30">
        <v>5</v>
      </c>
      <c r="B6" s="31" t="s">
        <v>3</v>
      </c>
      <c r="C6" s="32" t="s">
        <v>4</v>
      </c>
      <c r="D6" s="23">
        <v>3</v>
      </c>
      <c r="E6" s="23">
        <v>40</v>
      </c>
      <c r="F6" s="22">
        <v>35</v>
      </c>
      <c r="G6" s="22">
        <v>25</v>
      </c>
      <c r="H6" s="22">
        <v>40</v>
      </c>
      <c r="I6" s="22">
        <v>40</v>
      </c>
      <c r="J6" s="77">
        <f>SUM(Table148111724[[#This Row],[Connacht Open 2021]:[Irish Close 19-20]])</f>
        <v>180</v>
      </c>
      <c r="K6" s="32">
        <f>IFERROR(SUM(LARGE(Table148111724[[#This Row],[Connacht Open 2021]:[Irish Close 19-20]],{1,2,3})),0)</f>
        <v>120</v>
      </c>
      <c r="L6" s="32">
        <f>IFERROR(SUM(LARGE(Table148111724[[#This Row],[Connacht Open 2021]:[Irish Close 19-20]],{1,2})/2*3),0)</f>
        <v>120</v>
      </c>
      <c r="M6" s="32">
        <f t="shared" si="0"/>
        <v>120</v>
      </c>
    </row>
    <row r="7" spans="1:13" x14ac:dyDescent="0.3">
      <c r="A7" s="30">
        <v>6</v>
      </c>
      <c r="B7" s="38" t="s">
        <v>16</v>
      </c>
      <c r="C7" s="32" t="s">
        <v>11</v>
      </c>
      <c r="D7" s="23">
        <v>2</v>
      </c>
      <c r="F7" s="22">
        <v>0</v>
      </c>
      <c r="G7" s="22">
        <v>0</v>
      </c>
      <c r="H7" s="22">
        <v>0</v>
      </c>
      <c r="I7" s="22">
        <v>175</v>
      </c>
      <c r="J7" s="77">
        <f>SUM(Table148111724[[#This Row],[Connacht Open 2021]:[Irish Close 19-20]])</f>
        <v>175</v>
      </c>
      <c r="K7" s="32">
        <f>IFERROR(SUM(LARGE(Table148111724[[#This Row],[Connacht Open 2021]:[Irish Close 19-20]],{1,2,3})),0)</f>
        <v>175</v>
      </c>
      <c r="L7" s="32">
        <f>IFERROR(SUM(LARGE(Table148111724[[#This Row],[Connacht Open 2021]:[Irish Close 19-20]],{1,2})/2*3),0)</f>
        <v>262.5</v>
      </c>
      <c r="M7" s="32">
        <f t="shared" si="0"/>
        <v>262.5</v>
      </c>
    </row>
    <row r="8" spans="1:13" x14ac:dyDescent="0.3">
      <c r="A8" s="30">
        <v>7</v>
      </c>
      <c r="B8" s="33" t="s">
        <v>14</v>
      </c>
      <c r="C8" s="34" t="s">
        <v>4</v>
      </c>
      <c r="D8" s="35">
        <v>3</v>
      </c>
      <c r="E8" s="23">
        <v>35</v>
      </c>
      <c r="F8" s="24">
        <v>50</v>
      </c>
      <c r="G8" s="22">
        <v>50</v>
      </c>
      <c r="H8" s="22">
        <v>35</v>
      </c>
      <c r="I8" s="22">
        <v>0</v>
      </c>
      <c r="J8" s="77">
        <f>SUM(Table148111724[[#This Row],[Connacht Open 2021]:[Irish Close 19-20]])</f>
        <v>170</v>
      </c>
      <c r="K8" s="32">
        <f>IFERROR(SUM(LARGE(Table148111724[[#This Row],[Connacht Open 2021]:[Irish Close 19-20]],{1,2,3})),0)</f>
        <v>135</v>
      </c>
      <c r="L8" s="32">
        <f>IFERROR(SUM(LARGE(Table148111724[[#This Row],[Connacht Open 2021]:[Irish Close 19-20]],{1,2})/2*3),0)</f>
        <v>150</v>
      </c>
      <c r="M8" s="32">
        <f t="shared" si="0"/>
        <v>135</v>
      </c>
    </row>
    <row r="9" spans="1:13" x14ac:dyDescent="0.3">
      <c r="A9" s="30">
        <v>8</v>
      </c>
      <c r="B9" s="31" t="s">
        <v>198</v>
      </c>
      <c r="C9" s="32" t="s">
        <v>4</v>
      </c>
      <c r="D9" s="23">
        <v>3</v>
      </c>
      <c r="E9" s="51">
        <v>140</v>
      </c>
      <c r="F9" s="22">
        <v>0</v>
      </c>
      <c r="G9" s="22">
        <v>0</v>
      </c>
      <c r="H9" s="22">
        <v>0</v>
      </c>
      <c r="I9" s="22">
        <v>0</v>
      </c>
      <c r="J9" s="77">
        <f>SUM(Table148111724[[#This Row],[Connacht Open 2021]:[Irish Close 19-20]])</f>
        <v>140</v>
      </c>
      <c r="K9" s="32">
        <f>IFERROR(SUM(LARGE(Table148111724[[#This Row],[Connacht Open 2021]:[Irish Close 19-20]],{1,2,3})),0)</f>
        <v>140</v>
      </c>
      <c r="L9" s="32">
        <f>IFERROR(SUM(LARGE(Table148111724[[#This Row],[Connacht Open 2021]:[Irish Close 19-20]],{1,2})/2*3),0)</f>
        <v>210</v>
      </c>
      <c r="M9" s="32">
        <f t="shared" si="0"/>
        <v>140</v>
      </c>
    </row>
    <row r="10" spans="1:13" x14ac:dyDescent="0.3">
      <c r="A10" s="30">
        <v>9</v>
      </c>
      <c r="B10" s="31" t="s">
        <v>58</v>
      </c>
      <c r="C10" s="32" t="s">
        <v>4</v>
      </c>
      <c r="D10" s="23">
        <v>3</v>
      </c>
      <c r="F10" s="22">
        <v>25</v>
      </c>
      <c r="G10" s="22">
        <v>0</v>
      </c>
      <c r="H10" s="22">
        <v>0</v>
      </c>
      <c r="I10" s="22">
        <v>90</v>
      </c>
      <c r="J10" s="77">
        <f>SUM(Table148111724[[#This Row],[Connacht Open 2021]:[Irish Close 19-20]])</f>
        <v>115</v>
      </c>
      <c r="K10" s="32">
        <f>IFERROR(SUM(LARGE(Table148111724[[#This Row],[Connacht Open 2021]:[Irish Close 19-20]],{1,2,3})),0)</f>
        <v>115</v>
      </c>
      <c r="L10" s="32">
        <f>IFERROR(SUM(LARGE(Table148111724[[#This Row],[Connacht Open 2021]:[Irish Close 19-20]],{1,2})/2*3),0)</f>
        <v>172.5</v>
      </c>
      <c r="M10" s="32">
        <f t="shared" si="0"/>
        <v>115</v>
      </c>
    </row>
    <row r="11" spans="1:13" x14ac:dyDescent="0.3">
      <c r="A11" s="30">
        <v>10</v>
      </c>
      <c r="B11" s="45" t="s">
        <v>158</v>
      </c>
      <c r="C11" s="36" t="s">
        <v>4</v>
      </c>
      <c r="D11" s="37">
        <v>3</v>
      </c>
      <c r="F11" s="22">
        <v>15</v>
      </c>
      <c r="G11" s="22">
        <v>35</v>
      </c>
      <c r="H11" s="22">
        <v>0</v>
      </c>
      <c r="I11" s="22">
        <v>45</v>
      </c>
      <c r="J11" s="77">
        <f>SUM(Table148111724[[#This Row],[Connacht Open 2021]:[Irish Close 19-20]])</f>
        <v>95</v>
      </c>
      <c r="K11" s="32">
        <f>IFERROR(SUM(LARGE(Table148111724[[#This Row],[Connacht Open 2021]:[Irish Close 19-20]],{1,2,3})),0)</f>
        <v>95</v>
      </c>
      <c r="L11" s="32">
        <f>IFERROR(SUM(LARGE(Table148111724[[#This Row],[Connacht Open 2021]:[Irish Close 19-20]],{1,2})/2*3),0)</f>
        <v>120</v>
      </c>
      <c r="M11" s="32">
        <f t="shared" si="0"/>
        <v>95</v>
      </c>
    </row>
    <row r="12" spans="1:13" x14ac:dyDescent="0.3">
      <c r="A12" s="30">
        <v>11</v>
      </c>
      <c r="B12" s="31" t="s">
        <v>17</v>
      </c>
      <c r="C12" s="32" t="s">
        <v>4</v>
      </c>
      <c r="D12" s="23">
        <v>3</v>
      </c>
      <c r="E12" s="23">
        <v>50</v>
      </c>
      <c r="F12" s="22">
        <v>0</v>
      </c>
      <c r="G12" s="22">
        <v>40</v>
      </c>
      <c r="H12" s="22">
        <v>0</v>
      </c>
      <c r="I12" s="22"/>
      <c r="J12" s="77">
        <f>SUM(Table148111724[[#This Row],[Connacht Open 2021]:[Irish Close 19-20]])</f>
        <v>90</v>
      </c>
      <c r="K12" s="32">
        <f>IFERROR(SUM(LARGE(Table148111724[[#This Row],[Connacht Open 2021]:[Irish Close 19-20]],{1,2,3})),0)</f>
        <v>90</v>
      </c>
      <c r="L12" s="32">
        <f>IFERROR(SUM(LARGE(Table148111724[[#This Row],[Connacht Open 2021]:[Irish Close 19-20]],{1,2})/2*3),0)</f>
        <v>135</v>
      </c>
      <c r="M12" s="32">
        <f t="shared" si="0"/>
        <v>90</v>
      </c>
    </row>
    <row r="13" spans="1:13" x14ac:dyDescent="0.3">
      <c r="A13" s="30">
        <v>12</v>
      </c>
      <c r="B13" s="39" t="s">
        <v>199</v>
      </c>
      <c r="C13" s="32" t="s">
        <v>4</v>
      </c>
      <c r="D13" s="23">
        <v>3</v>
      </c>
      <c r="E13" s="23">
        <v>70</v>
      </c>
      <c r="F13" s="32">
        <v>0</v>
      </c>
      <c r="G13" s="23">
        <v>0</v>
      </c>
      <c r="H13" s="22">
        <v>0</v>
      </c>
      <c r="I13" s="32">
        <v>0</v>
      </c>
      <c r="J13" s="77">
        <f>SUM(Table148111724[[#This Row],[Connacht Open 2021]:[Irish Close 19-20]])</f>
        <v>70</v>
      </c>
      <c r="K13" s="32">
        <f>IFERROR(SUM(LARGE(Table148111724[[#This Row],[Connacht Open 2021]:[Irish Close 19-20]],{1,2,3})),0)</f>
        <v>70</v>
      </c>
      <c r="L13" s="32">
        <f>IFERROR(SUM(LARGE(Table148111724[[#This Row],[Connacht Open 2021]:[Irish Close 19-20]],{1,2})/2*3),0)</f>
        <v>105</v>
      </c>
      <c r="M13" s="32">
        <f t="shared" si="0"/>
        <v>70</v>
      </c>
    </row>
    <row r="14" spans="1:13" x14ac:dyDescent="0.3">
      <c r="A14" s="30">
        <v>13</v>
      </c>
      <c r="B14" s="39" t="s">
        <v>113</v>
      </c>
      <c r="C14" s="32" t="s">
        <v>4</v>
      </c>
      <c r="D14" s="23">
        <v>3</v>
      </c>
      <c r="F14" s="22">
        <v>5</v>
      </c>
      <c r="G14" s="22">
        <v>0</v>
      </c>
      <c r="H14" s="22">
        <v>0</v>
      </c>
      <c r="I14" s="22">
        <v>25</v>
      </c>
      <c r="J14" s="77">
        <f>SUM(Table148111724[[#This Row],[Connacht Open 2021]:[Irish Close 19-20]])</f>
        <v>30</v>
      </c>
      <c r="K14" s="32">
        <f>IFERROR(SUM(LARGE(Table148111724[[#This Row],[Connacht Open 2021]:[Irish Close 19-20]],{1,2,3})),0)</f>
        <v>30</v>
      </c>
      <c r="L14" s="32">
        <f>IFERROR(SUM(LARGE(Table148111724[[#This Row],[Connacht Open 2021]:[Irish Close 19-20]],{1,2})/2*3),0)</f>
        <v>45</v>
      </c>
      <c r="M14" s="32">
        <f t="shared" si="0"/>
        <v>30</v>
      </c>
    </row>
    <row r="15" spans="1:13" x14ac:dyDescent="0.3">
      <c r="A15" s="30">
        <v>14</v>
      </c>
      <c r="B15" s="39" t="s">
        <v>210</v>
      </c>
      <c r="C15" s="32" t="s">
        <v>4</v>
      </c>
      <c r="D15" s="23">
        <v>3</v>
      </c>
      <c r="E15" s="23">
        <v>0</v>
      </c>
      <c r="F15" s="22">
        <v>0</v>
      </c>
      <c r="G15" s="22">
        <v>0</v>
      </c>
      <c r="H15" s="22">
        <v>30</v>
      </c>
      <c r="I15" s="22">
        <v>0</v>
      </c>
      <c r="J15" s="77">
        <f>SUM(Table148111724[[#This Row],[Connacht Open 2021]:[Irish Close 19-20]])</f>
        <v>30</v>
      </c>
      <c r="K15" s="32">
        <f>IFERROR(SUM(LARGE(Table148111724[[#This Row],[Connacht Open 2021]:[Irish Close 19-20]],{1,2,3})),0)</f>
        <v>30</v>
      </c>
      <c r="L15" s="32">
        <f>IFERROR(SUM(LARGE(Table148111724[[#This Row],[Connacht Open 2021]:[Irish Close 19-20]],{1,2})/2*3),0)</f>
        <v>45</v>
      </c>
      <c r="M15" s="32">
        <f t="shared" si="0"/>
        <v>30</v>
      </c>
    </row>
    <row r="16" spans="1:13" x14ac:dyDescent="0.3">
      <c r="A16" s="30">
        <v>15</v>
      </c>
      <c r="B16" s="39" t="s">
        <v>202</v>
      </c>
      <c r="C16" s="32" t="s">
        <v>4</v>
      </c>
      <c r="D16" s="23">
        <v>3</v>
      </c>
      <c r="E16" s="23">
        <v>25</v>
      </c>
      <c r="F16" s="32">
        <v>0</v>
      </c>
      <c r="G16" s="23">
        <v>0</v>
      </c>
      <c r="H16" s="22">
        <v>0</v>
      </c>
      <c r="I16" s="32">
        <v>0</v>
      </c>
      <c r="J16" s="77">
        <f>SUM(Table148111724[[#This Row],[Connacht Open 2021]:[Irish Close 19-20]])</f>
        <v>25</v>
      </c>
      <c r="K16" s="32">
        <f>IFERROR(SUM(LARGE(Table148111724[[#This Row],[Connacht Open 2021]:[Irish Close 19-20]],{1,2,3})),0)</f>
        <v>25</v>
      </c>
      <c r="L16" s="32">
        <f>IFERROR(SUM(LARGE(Table148111724[[#This Row],[Connacht Open 2021]:[Irish Close 19-20]],{1,2})/2*3),0)</f>
        <v>37.5</v>
      </c>
      <c r="M16" s="32">
        <f t="shared" si="0"/>
        <v>25</v>
      </c>
    </row>
    <row r="17" spans="1:13" x14ac:dyDescent="0.3">
      <c r="A17" s="30">
        <v>16</v>
      </c>
      <c r="B17" s="39" t="s">
        <v>121</v>
      </c>
      <c r="C17" s="32" t="s">
        <v>4</v>
      </c>
      <c r="D17" s="23">
        <v>3</v>
      </c>
      <c r="F17" s="22">
        <v>20</v>
      </c>
      <c r="G17" s="22">
        <v>0</v>
      </c>
      <c r="H17" s="22">
        <v>0</v>
      </c>
      <c r="I17" s="22">
        <v>0</v>
      </c>
      <c r="J17" s="77">
        <f>SUM(Table148111724[[#This Row],[Connacht Open 2021]:[Irish Close 19-20]])</f>
        <v>20</v>
      </c>
      <c r="K17" s="32">
        <f>IFERROR(SUM(LARGE(Table148111724[[#This Row],[Connacht Open 2021]:[Irish Close 19-20]],{1,2,3})),0)</f>
        <v>20</v>
      </c>
      <c r="L17" s="32">
        <f>IFERROR(SUM(LARGE(Table148111724[[#This Row],[Connacht Open 2021]:[Irish Close 19-20]],{1,2})/2*3),0)</f>
        <v>30</v>
      </c>
      <c r="M17" s="32">
        <f t="shared" si="0"/>
        <v>20</v>
      </c>
    </row>
    <row r="18" spans="1:13" x14ac:dyDescent="0.3">
      <c r="A18" s="30">
        <v>17</v>
      </c>
      <c r="B18" s="45" t="s">
        <v>61</v>
      </c>
      <c r="C18" s="32" t="s">
        <v>4</v>
      </c>
      <c r="D18" s="23">
        <v>3</v>
      </c>
      <c r="F18" s="22">
        <v>0</v>
      </c>
      <c r="G18" s="22">
        <v>0</v>
      </c>
      <c r="H18" s="22">
        <v>0</v>
      </c>
      <c r="I18" s="22">
        <v>20</v>
      </c>
      <c r="J18" s="77">
        <f>SUM(Table148111724[[#This Row],[Connacht Open 2021]:[Irish Close 19-20]])</f>
        <v>20</v>
      </c>
      <c r="K18" s="32">
        <f>IFERROR(SUM(LARGE(Table148111724[[#This Row],[Connacht Open 2021]:[Irish Close 19-20]],{1,2,3})),0)</f>
        <v>20</v>
      </c>
      <c r="L18" s="32">
        <f>IFERROR(SUM(LARGE(Table148111724[[#This Row],[Connacht Open 2021]:[Irish Close 19-20]],{1,2})/2*3),0)</f>
        <v>30</v>
      </c>
      <c r="M18" s="32">
        <f t="shared" si="0"/>
        <v>20</v>
      </c>
    </row>
    <row r="19" spans="1:13" x14ac:dyDescent="0.3">
      <c r="A19" s="30">
        <v>18</v>
      </c>
      <c r="B19" s="39" t="s">
        <v>201</v>
      </c>
      <c r="C19" s="32" t="s">
        <v>4</v>
      </c>
      <c r="D19" s="23">
        <v>3</v>
      </c>
      <c r="E19" s="23">
        <v>20</v>
      </c>
      <c r="F19" s="32">
        <v>0</v>
      </c>
      <c r="G19" s="23">
        <v>0</v>
      </c>
      <c r="H19" s="22">
        <v>0</v>
      </c>
      <c r="I19" s="32">
        <v>0</v>
      </c>
      <c r="J19" s="77">
        <f>SUM(Table148111724[[#This Row],[Connacht Open 2021]:[Irish Close 19-20]])</f>
        <v>20</v>
      </c>
      <c r="K19" s="32">
        <f>IFERROR(SUM(LARGE(Table148111724[[#This Row],[Connacht Open 2021]:[Irish Close 19-20]],{1,2,3})),0)</f>
        <v>20</v>
      </c>
      <c r="L19" s="32">
        <f>IFERROR(SUM(LARGE(Table148111724[[#This Row],[Connacht Open 2021]:[Irish Close 19-20]],{1,2})/2*3),0)</f>
        <v>30</v>
      </c>
      <c r="M19" s="32">
        <f t="shared" si="0"/>
        <v>20</v>
      </c>
    </row>
    <row r="20" spans="1:13" x14ac:dyDescent="0.3">
      <c r="A20" s="30">
        <v>19</v>
      </c>
      <c r="B20" s="31" t="s">
        <v>159</v>
      </c>
      <c r="C20" s="32" t="s">
        <v>4</v>
      </c>
      <c r="D20" s="23">
        <v>3</v>
      </c>
      <c r="F20" s="22">
        <v>0</v>
      </c>
      <c r="G20" s="29">
        <v>15</v>
      </c>
      <c r="H20" s="22">
        <v>0</v>
      </c>
      <c r="I20" s="22">
        <v>0</v>
      </c>
      <c r="J20" s="77">
        <f>SUM(Table148111724[[#This Row],[Connacht Open 2021]:[Irish Close 19-20]])</f>
        <v>15</v>
      </c>
      <c r="K20" s="32">
        <f>IFERROR(SUM(LARGE(Table148111724[[#This Row],[Connacht Open 2021]:[Irish Close 19-20]],{1,2,3})),0)</f>
        <v>15</v>
      </c>
      <c r="L20" s="32">
        <f>IFERROR(SUM(LARGE(Table148111724[[#This Row],[Connacht Open 2021]:[Irish Close 19-20]],{1,2})/2*3),0)</f>
        <v>22.5</v>
      </c>
      <c r="M20" s="32">
        <f t="shared" si="0"/>
        <v>15</v>
      </c>
    </row>
    <row r="21" spans="1:13" x14ac:dyDescent="0.3">
      <c r="A21" s="30">
        <v>20</v>
      </c>
      <c r="B21" s="39" t="s">
        <v>200</v>
      </c>
      <c r="C21" s="32" t="s">
        <v>4</v>
      </c>
      <c r="D21" s="23">
        <v>3</v>
      </c>
      <c r="E21" s="23">
        <v>15</v>
      </c>
      <c r="F21" s="32">
        <v>0</v>
      </c>
      <c r="G21" s="23">
        <v>0</v>
      </c>
      <c r="H21" s="22">
        <v>0</v>
      </c>
      <c r="I21" s="32">
        <v>0</v>
      </c>
      <c r="J21" s="77">
        <f>SUM(Table148111724[[#This Row],[Connacht Open 2021]:[Irish Close 19-20]])</f>
        <v>15</v>
      </c>
      <c r="K21" s="32">
        <f>IFERROR(SUM(LARGE(Table148111724[[#This Row],[Connacht Open 2021]:[Irish Close 19-20]],{1,2,3})),0)</f>
        <v>15</v>
      </c>
      <c r="L21" s="32">
        <f>IFERROR(SUM(LARGE(Table148111724[[#This Row],[Connacht Open 2021]:[Irish Close 19-20]],{1,2})/2*3),0)</f>
        <v>22.5</v>
      </c>
      <c r="M21" s="32">
        <f t="shared" si="0"/>
        <v>15</v>
      </c>
    </row>
    <row r="22" spans="1:13" x14ac:dyDescent="0.3">
      <c r="A22" s="30"/>
      <c r="B22" s="45"/>
      <c r="C22" s="32" t="s">
        <v>4</v>
      </c>
      <c r="D22" s="23">
        <v>3</v>
      </c>
      <c r="F22" s="22">
        <v>0</v>
      </c>
      <c r="G22" s="22">
        <v>0</v>
      </c>
      <c r="H22" s="22">
        <v>0</v>
      </c>
      <c r="I22" s="22"/>
      <c r="J22" s="77">
        <f>SUM(Table148111724[[#This Row],[Connacht Open 2021]:[Irish Close 19-20]])</f>
        <v>0</v>
      </c>
      <c r="K22" s="32">
        <f>IFERROR(SUM(LARGE(Table148111724[[#This Row],[Connacht Open 2021]:[Irish Close 19-20]],{1,2,3})),0)</f>
        <v>0</v>
      </c>
      <c r="L22" s="32">
        <f>IFERROR(SUM(LARGE(Table148111724[[#This Row],[Connacht Open 2021]:[Irish Close 19-20]],{1,2})/2*3),0)</f>
        <v>0</v>
      </c>
      <c r="M22" s="32">
        <f t="shared" si="0"/>
        <v>0</v>
      </c>
    </row>
    <row r="23" spans="1:13" x14ac:dyDescent="0.3">
      <c r="A23" s="30"/>
      <c r="B23" s="45"/>
      <c r="C23" s="32" t="s">
        <v>4</v>
      </c>
      <c r="D23" s="23">
        <v>3</v>
      </c>
      <c r="F23" s="22">
        <v>0</v>
      </c>
      <c r="G23" s="22">
        <v>0</v>
      </c>
      <c r="H23" s="22">
        <v>0</v>
      </c>
      <c r="I23" s="22"/>
      <c r="J23" s="77">
        <f>SUM(Table148111724[[#This Row],[Connacht Open 2021]:[Irish Close 19-20]])</f>
        <v>0</v>
      </c>
      <c r="K23" s="32">
        <f>IFERROR(SUM(LARGE(Table148111724[[#This Row],[Connacht Open 2021]:[Irish Close 19-20]],{1,2,3})),0)</f>
        <v>0</v>
      </c>
      <c r="L23" s="32">
        <f>IFERROR(SUM(LARGE(Table148111724[[#This Row],[Connacht Open 2021]:[Irish Close 19-20]],{1,2})/2*3),0)</f>
        <v>0</v>
      </c>
      <c r="M23" s="32">
        <f t="shared" si="0"/>
        <v>0</v>
      </c>
    </row>
    <row r="24" spans="1:13" x14ac:dyDescent="0.3">
      <c r="A24" s="30"/>
      <c r="B24" s="45"/>
      <c r="C24" s="32" t="s">
        <v>4</v>
      </c>
      <c r="D24" s="23">
        <v>3</v>
      </c>
      <c r="F24" s="22">
        <v>0</v>
      </c>
      <c r="G24" s="22">
        <v>0</v>
      </c>
      <c r="H24" s="22">
        <v>0</v>
      </c>
      <c r="I24" s="22"/>
      <c r="J24" s="77">
        <f>SUM(Table148111724[[#This Row],[Connacht Open 2021]:[Irish Close 19-20]])</f>
        <v>0</v>
      </c>
      <c r="K24" s="32">
        <f>IFERROR(SUM(LARGE(Table148111724[[#This Row],[Connacht Open 2021]:[Irish Close 19-20]],{1,2,3})),0)</f>
        <v>0</v>
      </c>
      <c r="L24" s="32">
        <f>IFERROR(SUM(LARGE(Table148111724[[#This Row],[Connacht Open 2021]:[Irish Close 19-20]],{1,2})/2*3),0)</f>
        <v>0</v>
      </c>
      <c r="M24" s="32">
        <f t="shared" si="0"/>
        <v>0</v>
      </c>
    </row>
    <row r="25" spans="1:13" x14ac:dyDescent="0.3">
      <c r="E25" s="51"/>
      <c r="F25" s="22"/>
      <c r="G25" s="22"/>
      <c r="H25" s="22"/>
      <c r="I25" s="22"/>
    </row>
    <row r="27" spans="1:13" x14ac:dyDescent="0.3">
      <c r="B27" s="39" t="s">
        <v>118</v>
      </c>
      <c r="C27" s="32" t="s">
        <v>119</v>
      </c>
      <c r="K27" s="32">
        <f>IFERROR(SUM(LARGE(Table148111724[[#This Row],[Connacht Open 2021]:[Irish Close 19-20]],{1,2,3})),0)</f>
        <v>0</v>
      </c>
      <c r="L27" s="32">
        <f>IFERROR(SUM(LARGE(Table148111724[[#This Row],[Connacht Open 2021]:[Irish Close 19-20]],{1,2})/2*3),0)</f>
        <v>0</v>
      </c>
    </row>
  </sheetData>
  <autoFilter ref="A1:A20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70" zoomScaleNormal="70" workbookViewId="0">
      <selection activeCell="H4" sqref="H4"/>
    </sheetView>
  </sheetViews>
  <sheetFormatPr defaultColWidth="8.7109375" defaultRowHeight="15.75" x14ac:dyDescent="0.25"/>
  <cols>
    <col min="1" max="1" width="8.7109375" style="32"/>
    <col min="2" max="2" width="23" style="32" customWidth="1"/>
    <col min="3" max="3" width="17.28515625" style="32" bestFit="1" customWidth="1"/>
    <col min="4" max="4" width="12.85546875" style="23" bestFit="1" customWidth="1"/>
    <col min="5" max="5" width="25" style="23" bestFit="1" customWidth="1"/>
    <col min="6" max="6" width="26" style="32" bestFit="1" customWidth="1"/>
    <col min="7" max="7" width="25" style="32" bestFit="1" customWidth="1"/>
    <col min="8" max="8" width="26.140625" style="32" customWidth="1"/>
    <col min="9" max="9" width="21.5703125" style="32" bestFit="1" customWidth="1"/>
    <col min="10" max="10" width="17.28515625" style="75" bestFit="1" customWidth="1"/>
    <col min="11" max="11" width="16.7109375" style="32" hidden="1" customWidth="1"/>
    <col min="12" max="12" width="20.5703125" style="32" hidden="1" customWidth="1"/>
    <col min="13" max="13" width="25.7109375" style="32" bestFit="1" customWidth="1"/>
    <col min="14" max="14" width="13.7109375" style="32" bestFit="1" customWidth="1"/>
    <col min="15" max="16384" width="8.7109375" style="32"/>
  </cols>
  <sheetData>
    <row r="1" spans="1:13" s="29" customFormat="1" ht="22.5" customHeight="1" x14ac:dyDescent="0.25">
      <c r="A1" s="28" t="s">
        <v>18</v>
      </c>
      <c r="B1" s="29" t="s">
        <v>0</v>
      </c>
      <c r="C1" s="29" t="s">
        <v>2</v>
      </c>
      <c r="D1" s="29" t="s">
        <v>1</v>
      </c>
      <c r="E1" s="29" t="s">
        <v>205</v>
      </c>
      <c r="F1" s="29" t="s">
        <v>116</v>
      </c>
      <c r="G1" s="29" t="s">
        <v>149</v>
      </c>
      <c r="H1" s="1" t="s">
        <v>227</v>
      </c>
      <c r="I1" s="29" t="s">
        <v>176</v>
      </c>
      <c r="J1" s="74" t="s">
        <v>7</v>
      </c>
      <c r="K1" s="29" t="s">
        <v>5</v>
      </c>
      <c r="L1" s="29" t="s">
        <v>6</v>
      </c>
      <c r="M1" s="29" t="s">
        <v>8</v>
      </c>
    </row>
    <row r="2" spans="1:13" x14ac:dyDescent="0.25">
      <c r="A2" s="30">
        <v>1</v>
      </c>
      <c r="B2" s="78" t="s">
        <v>177</v>
      </c>
      <c r="C2" s="32" t="s">
        <v>4</v>
      </c>
      <c r="D2" s="23">
        <v>3</v>
      </c>
      <c r="E2" s="23">
        <v>0</v>
      </c>
      <c r="F2" s="22">
        <v>0</v>
      </c>
      <c r="G2" s="22">
        <v>0</v>
      </c>
      <c r="H2" s="22">
        <v>0</v>
      </c>
      <c r="I2" s="22">
        <v>175</v>
      </c>
      <c r="J2" s="75">
        <f>SUM(Table148111726[[#This Row],[Connacht Open]:[Irish Close 19-20]])</f>
        <v>175</v>
      </c>
      <c r="K2" s="32">
        <f>IFERROR(SUM(LARGE(Table148111726[[#This Row],[Connacht Open]:[Irish Close 19-20]],{1,2,3})),0)</f>
        <v>175</v>
      </c>
      <c r="L2" s="32">
        <f>IFERROR(SUM(LARGE(Table148111726[[#This Row],[Connacht Open]:[Irish Close 19-20]],{1,2})/2*3),0)</f>
        <v>262.5</v>
      </c>
      <c r="M2" s="32">
        <f t="shared" ref="M2:M9" si="0">IF(D2=3,K2,L2)</f>
        <v>175</v>
      </c>
    </row>
    <row r="3" spans="1:13" x14ac:dyDescent="0.25">
      <c r="A3" s="30">
        <v>2</v>
      </c>
      <c r="B3" s="78" t="s">
        <v>110</v>
      </c>
      <c r="C3" s="32" t="s">
        <v>4</v>
      </c>
      <c r="D3" s="23">
        <v>3</v>
      </c>
      <c r="E3" s="23">
        <v>0</v>
      </c>
      <c r="F3" s="22">
        <v>140</v>
      </c>
      <c r="G3" s="22">
        <v>0</v>
      </c>
      <c r="H3" s="22">
        <v>0</v>
      </c>
      <c r="I3" s="22">
        <v>0</v>
      </c>
      <c r="J3" s="75">
        <f>SUM(Table148111726[[#This Row],[Connacht Open]:[Irish Close 19-20]])</f>
        <v>140</v>
      </c>
      <c r="K3" s="32">
        <f>IFERROR(SUM(LARGE(Table148111726[[#This Row],[Connacht Open]:[Irish Close 19-20]],{1,2,3})),0)</f>
        <v>140</v>
      </c>
      <c r="L3" s="32">
        <f>IFERROR(SUM(LARGE(Table148111726[[#This Row],[Connacht Open]:[Irish Close 19-20]],{1,2})/2*3),0)</f>
        <v>210</v>
      </c>
      <c r="M3" s="32">
        <f t="shared" si="0"/>
        <v>140</v>
      </c>
    </row>
    <row r="4" spans="1:13" x14ac:dyDescent="0.25">
      <c r="A4" s="30">
        <v>3</v>
      </c>
      <c r="B4" s="78" t="s">
        <v>49</v>
      </c>
      <c r="C4" s="32" t="s">
        <v>4</v>
      </c>
      <c r="D4" s="23">
        <v>3</v>
      </c>
      <c r="E4" s="23">
        <v>0</v>
      </c>
      <c r="F4" s="22">
        <v>0</v>
      </c>
      <c r="G4" s="22">
        <v>0</v>
      </c>
      <c r="H4" s="22">
        <v>0</v>
      </c>
      <c r="I4" s="22">
        <v>90</v>
      </c>
      <c r="J4" s="75">
        <f>SUM(Table148111726[[#This Row],[Connacht Open]:[Irish Close 19-20]])</f>
        <v>90</v>
      </c>
      <c r="K4" s="32">
        <f>IFERROR(SUM(LARGE(Table148111726[[#This Row],[Connacht Open]:[Irish Close 19-20]],{1,2,3})),0)</f>
        <v>90</v>
      </c>
      <c r="L4" s="32">
        <f>IFERROR(SUM(LARGE(Table148111726[[#This Row],[Connacht Open]:[Irish Close 19-20]],{1,2})/2*3),0)</f>
        <v>135</v>
      </c>
      <c r="M4" s="32">
        <f t="shared" si="0"/>
        <v>90</v>
      </c>
    </row>
    <row r="5" spans="1:13" x14ac:dyDescent="0.25">
      <c r="A5" s="30">
        <v>4</v>
      </c>
      <c r="B5" s="78" t="s">
        <v>51</v>
      </c>
      <c r="C5" s="32" t="s">
        <v>4</v>
      </c>
      <c r="D5" s="23">
        <v>3</v>
      </c>
      <c r="E5" s="23">
        <v>0</v>
      </c>
      <c r="F5" s="22">
        <v>70</v>
      </c>
      <c r="G5" s="22">
        <v>0</v>
      </c>
      <c r="H5" s="22">
        <v>0</v>
      </c>
      <c r="I5" s="22">
        <v>0</v>
      </c>
      <c r="J5" s="75">
        <f>SUM(Table148111726[[#This Row],[Connacht Open]:[Irish Close 19-20]])</f>
        <v>70</v>
      </c>
      <c r="K5" s="32">
        <f>IFERROR(SUM(LARGE(Table148111726[[#This Row],[Connacht Open]:[Irish Close 19-20]],{1,2,3})),0)</f>
        <v>70</v>
      </c>
      <c r="L5" s="32">
        <f>IFERROR(SUM(LARGE(Table148111726[[#This Row],[Connacht Open]:[Irish Close 19-20]],{1,2})/2*3),0)</f>
        <v>105</v>
      </c>
      <c r="M5" s="32">
        <f t="shared" si="0"/>
        <v>70</v>
      </c>
    </row>
    <row r="6" spans="1:13" x14ac:dyDescent="0.25">
      <c r="A6" s="30">
        <v>5</v>
      </c>
      <c r="B6" s="79" t="s">
        <v>48</v>
      </c>
      <c r="C6" s="32" t="s">
        <v>4</v>
      </c>
      <c r="D6" s="23">
        <v>3</v>
      </c>
      <c r="E6" s="23">
        <v>0</v>
      </c>
      <c r="F6" s="22">
        <v>50</v>
      </c>
      <c r="G6" s="22">
        <v>0</v>
      </c>
      <c r="H6" s="22">
        <v>0</v>
      </c>
      <c r="I6" s="22">
        <v>0</v>
      </c>
      <c r="J6" s="75">
        <f>SUM(Table148111726[[#This Row],[Connacht Open]:[Irish Close 19-20]])</f>
        <v>50</v>
      </c>
      <c r="K6" s="32">
        <f>IFERROR(SUM(LARGE(Table148111726[[#This Row],[Connacht Open]:[Irish Close 19-20]],{1,2,3})),0)</f>
        <v>50</v>
      </c>
      <c r="L6" s="32">
        <f>IFERROR(SUM(LARGE(Table148111726[[#This Row],[Connacht Open]:[Irish Close 19-20]],{1,2})/2*3),0)</f>
        <v>75</v>
      </c>
      <c r="M6" s="32">
        <f t="shared" si="0"/>
        <v>50</v>
      </c>
    </row>
    <row r="7" spans="1:13" x14ac:dyDescent="0.25">
      <c r="A7" s="30">
        <v>6</v>
      </c>
      <c r="B7" s="80"/>
      <c r="C7" s="32" t="s">
        <v>4</v>
      </c>
      <c r="D7" s="23">
        <v>3</v>
      </c>
      <c r="E7" s="23">
        <v>0</v>
      </c>
      <c r="F7" s="22">
        <v>0</v>
      </c>
      <c r="G7" s="22">
        <v>0</v>
      </c>
      <c r="H7" s="22">
        <v>0</v>
      </c>
      <c r="I7" s="22">
        <v>0</v>
      </c>
      <c r="J7" s="75">
        <f>SUM(Table148111726[[#This Row],[Connacht Open]:[Irish Close 19-20]])</f>
        <v>0</v>
      </c>
      <c r="K7" s="32">
        <f>IFERROR(SUM(LARGE(Table148111726[[#This Row],[Connacht Open]:[Irish Close 19-20]],{1,2,3})),0)</f>
        <v>0</v>
      </c>
      <c r="L7" s="32">
        <f>IFERROR(SUM(LARGE(Table148111726[[#This Row],[Connacht Open]:[Irish Close 19-20]],{1,2})/2*3),0)</f>
        <v>0</v>
      </c>
      <c r="M7" s="32">
        <f t="shared" si="0"/>
        <v>0</v>
      </c>
    </row>
    <row r="8" spans="1:13" x14ac:dyDescent="0.25">
      <c r="A8" s="30">
        <v>7</v>
      </c>
      <c r="B8" s="79"/>
      <c r="C8" s="32" t="s">
        <v>4</v>
      </c>
      <c r="D8" s="23">
        <v>3</v>
      </c>
      <c r="E8" s="22"/>
      <c r="F8" s="22"/>
      <c r="G8" s="22"/>
      <c r="H8" s="22"/>
      <c r="I8" s="22"/>
      <c r="J8" s="75">
        <f>SUM(Table148111726[[#This Row],[Connacht Open]:[Irish Close 19-20]])</f>
        <v>0</v>
      </c>
      <c r="K8" s="32">
        <f>IFERROR(SUM(LARGE(Table148111726[[#This Row],[Connacht Open]:[Irish Close 19-20]],{1,2,3})),0)</f>
        <v>0</v>
      </c>
      <c r="L8" s="32">
        <f>IFERROR(SUM(LARGE(Table148111726[[#This Row],[Connacht Open]:[Irish Close 19-20]],{1,2})/2*3),0)</f>
        <v>0</v>
      </c>
      <c r="M8" s="32">
        <f t="shared" si="0"/>
        <v>0</v>
      </c>
    </row>
    <row r="9" spans="1:13" x14ac:dyDescent="0.25">
      <c r="B9" s="82" t="s">
        <v>218</v>
      </c>
      <c r="C9" s="83"/>
      <c r="D9" s="49"/>
      <c r="E9" s="49"/>
      <c r="F9" s="83"/>
      <c r="G9" s="83"/>
      <c r="H9" s="83"/>
      <c r="I9" s="83"/>
      <c r="J9" s="84">
        <f>SUM(Table148111726[[#This Row],[Connacht Open]:[Irish Close 19-20]])</f>
        <v>0</v>
      </c>
      <c r="K9" s="83">
        <f>IFERROR(SUM(LARGE(Table148111726[[#This Row],[Connacht Open]:[Irish Close 19-20]],{1,2,3})),0)</f>
        <v>0</v>
      </c>
      <c r="L9" s="83">
        <f>IFERROR(SUM(LARGE(Table148111726[[#This Row],[Connacht Open]:[Irish Close 19-20]],{1,2})/2*3),0)</f>
        <v>0</v>
      </c>
      <c r="M9" s="85">
        <f t="shared" si="0"/>
        <v>0</v>
      </c>
    </row>
    <row r="10" spans="1:13" x14ac:dyDescent="0.25">
      <c r="B10" s="42" t="s">
        <v>118</v>
      </c>
      <c r="C10" s="34" t="s">
        <v>119</v>
      </c>
      <c r="D10" s="35"/>
      <c r="E10" s="35"/>
      <c r="F10" s="34"/>
      <c r="G10" s="22"/>
      <c r="H10" s="22"/>
      <c r="I10" s="22"/>
    </row>
  </sheetData>
  <phoneticPr fontId="4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Mens 35s</vt:lpstr>
      <vt:lpstr>Mens 40s</vt:lpstr>
      <vt:lpstr>Ladies 35-40s</vt:lpstr>
      <vt:lpstr>Mens 45s</vt:lpstr>
      <vt:lpstr>Ladies 45s</vt:lpstr>
      <vt:lpstr>Mens 50s</vt:lpstr>
      <vt:lpstr>Ladies 50s</vt:lpstr>
      <vt:lpstr>Mens 55s</vt:lpstr>
      <vt:lpstr>Ladies 55s</vt:lpstr>
      <vt:lpstr>Mens 60s</vt:lpstr>
      <vt:lpstr>Ladies 60s</vt:lpstr>
      <vt:lpstr>Mens 65s</vt:lpstr>
      <vt:lpstr>Mens 70s</vt:lpstr>
      <vt:lpstr>Mens 75s</vt:lpstr>
      <vt:lpstr>points tables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2020-03-19T18:52:57Z</cp:lastPrinted>
  <dcterms:created xsi:type="dcterms:W3CDTF">2019-10-15T11:02:14Z</dcterms:created>
  <dcterms:modified xsi:type="dcterms:W3CDTF">2021-11-29T11:33:02Z</dcterms:modified>
</cp:coreProperties>
</file>